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1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25" windowWidth="27495" windowHeight="13740"/>
  </bookViews>
  <sheets>
    <sheet name="1. Transporte RSU" sheetId="1" r:id="rId1"/>
    <sheet name="2.Encargos Sociais" sheetId="2" r:id="rId2"/>
    <sheet name="3.CAGED" sheetId="3" r:id="rId3"/>
    <sheet name="4.BDI" sheetId="4" r:id="rId4"/>
    <sheet name="5. Depreciação" sheetId="5" r:id="rId5"/>
    <sheet name="6.Remuneração de capital" sheetId="6" r:id="rId6"/>
  </sheets>
  <definedNames>
    <definedName name="AbaDeprec">'5. Depreciação'!$A$1</definedName>
    <definedName name="AbaRemun">'6.Remuneração de capital'!$A$1</definedName>
    <definedName name="Google_Sheet_Link_283154434" hidden="1">AbaDeprec</definedName>
    <definedName name="Google_Sheet_Link_607211784" hidden="1">AbaRemun</definedName>
  </definedNames>
  <calcPr calcId="144525"/>
  <extLst>
    <ext uri="GoogleSheetsCustomDataVersion2">
      <go:sheetsCustomData xmlns:go="http://customooxmlschemas.google.com/" r:id="rId10" roundtripDataChecksum="6LbFQechCg1/dZC/ekuy5i5ImVNBapS1v3mxoIus+9g="/>
    </ext>
  </extLst>
</workbook>
</file>

<file path=xl/calcChain.xml><?xml version="1.0" encoding="utf-8"?>
<calcChain xmlns="http://schemas.openxmlformats.org/spreadsheetml/2006/main">
  <c r="C17" i="4" l="1"/>
  <c r="C193" i="1" s="1"/>
  <c r="F10" i="4"/>
  <c r="E10" i="4"/>
  <c r="D10" i="4"/>
  <c r="B22" i="3"/>
  <c r="B28" i="3" s="1"/>
  <c r="B20" i="3"/>
  <c r="B21" i="3" s="1"/>
  <c r="B18" i="3"/>
  <c r="C35" i="2"/>
  <c r="C32" i="2"/>
  <c r="C25" i="2"/>
  <c r="C13" i="2"/>
  <c r="C34" i="2" s="1"/>
  <c r="C36" i="2" s="1"/>
  <c r="C37" i="2" s="1"/>
  <c r="C50" i="1" s="1"/>
  <c r="E181" i="1"/>
  <c r="C177" i="1"/>
  <c r="C179" i="1" s="1"/>
  <c r="E179" i="1" s="1"/>
  <c r="D180" i="1" s="1"/>
  <c r="E180" i="1" s="1"/>
  <c r="C168" i="1"/>
  <c r="E166" i="1"/>
  <c r="C166" i="1"/>
  <c r="E164" i="1"/>
  <c r="D167" i="1" s="1"/>
  <c r="E167" i="1" s="1"/>
  <c r="D168" i="1" s="1"/>
  <c r="E168" i="1" s="1"/>
  <c r="F169" i="1" s="1"/>
  <c r="E21" i="1" s="1"/>
  <c r="E159" i="1"/>
  <c r="F160" i="1" s="1"/>
  <c r="E20" i="1" s="1"/>
  <c r="C159" i="1"/>
  <c r="D153" i="1"/>
  <c r="C153" i="1"/>
  <c r="E153" i="1" s="1"/>
  <c r="D151" i="1"/>
  <c r="D149" i="1"/>
  <c r="C149" i="1"/>
  <c r="E149" i="1" s="1"/>
  <c r="D147" i="1"/>
  <c r="D145" i="1"/>
  <c r="C145" i="1"/>
  <c r="E145" i="1" s="1"/>
  <c r="D143" i="1"/>
  <c r="D154" i="1" s="1"/>
  <c r="C143" i="1"/>
  <c r="E143" i="1" s="1"/>
  <c r="E135" i="1"/>
  <c r="E133" i="1"/>
  <c r="C133" i="1"/>
  <c r="C132" i="1"/>
  <c r="E132" i="1" s="1"/>
  <c r="D131" i="1"/>
  <c r="C131" i="1"/>
  <c r="E131" i="1" s="1"/>
  <c r="D134" i="1" s="1"/>
  <c r="E134" i="1" s="1"/>
  <c r="F135" i="1" s="1"/>
  <c r="E18" i="1" s="1"/>
  <c r="E127" i="1"/>
  <c r="C126" i="1"/>
  <c r="C121" i="1"/>
  <c r="E120" i="1"/>
  <c r="D120" i="1"/>
  <c r="C120" i="1"/>
  <c r="E115" i="1"/>
  <c r="D115" i="1"/>
  <c r="E111" i="1"/>
  <c r="C108" i="1"/>
  <c r="D107" i="1"/>
  <c r="C107" i="1"/>
  <c r="C122" i="1" s="1"/>
  <c r="E104" i="1"/>
  <c r="C103" i="1"/>
  <c r="D102" i="1"/>
  <c r="C102" i="1"/>
  <c r="C117" i="1" s="1"/>
  <c r="E99" i="1"/>
  <c r="E89" i="1"/>
  <c r="E87" i="1"/>
  <c r="E86" i="1"/>
  <c r="E85" i="1"/>
  <c r="E84" i="1"/>
  <c r="E83" i="1"/>
  <c r="D88" i="1" s="1"/>
  <c r="E82" i="1"/>
  <c r="E81" i="1"/>
  <c r="E80" i="1"/>
  <c r="E71" i="1"/>
  <c r="C70" i="1"/>
  <c r="E70" i="1" s="1"/>
  <c r="D65" i="1"/>
  <c r="E65" i="1" s="1"/>
  <c r="F66" i="1" s="1"/>
  <c r="E11" i="1" s="1"/>
  <c r="E64" i="1"/>
  <c r="A64" i="1"/>
  <c r="A70" i="1" s="1"/>
  <c r="C59" i="1"/>
  <c r="E53" i="1"/>
  <c r="E45" i="1"/>
  <c r="D45" i="1"/>
  <c r="D44" i="1"/>
  <c r="E44" i="1" s="1"/>
  <c r="D46" i="1" s="1"/>
  <c r="E46" i="1" s="1"/>
  <c r="E42" i="1"/>
  <c r="E33" i="1"/>
  <c r="A33" i="1"/>
  <c r="E29" i="1"/>
  <c r="E30" i="1" s="1"/>
  <c r="C88" i="1" s="1"/>
  <c r="A29" i="1"/>
  <c r="A23" i="1"/>
  <c r="A22" i="1"/>
  <c r="A21" i="1"/>
  <c r="A20" i="1"/>
  <c r="A19" i="1"/>
  <c r="A18" i="1"/>
  <c r="A15" i="1"/>
  <c r="A14" i="1"/>
  <c r="A13" i="1"/>
  <c r="A12" i="1"/>
  <c r="A11" i="1"/>
  <c r="A10" i="1"/>
  <c r="A9" i="1"/>
  <c r="A8" i="1"/>
  <c r="E49" i="1" l="1"/>
  <c r="C123" i="1"/>
  <c r="D124" i="1" s="1"/>
  <c r="E124" i="1" s="1"/>
  <c r="E88" i="1"/>
  <c r="F89" i="1" s="1"/>
  <c r="F91" i="1" s="1"/>
  <c r="E13" i="1" s="1"/>
  <c r="F71" i="1"/>
  <c r="E59" i="1"/>
  <c r="F60" i="1" s="1"/>
  <c r="E10" i="1" s="1"/>
  <c r="E177" i="1"/>
  <c r="D178" i="1" s="1"/>
  <c r="E178" i="1" s="1"/>
  <c r="F181" i="1" s="1"/>
  <c r="F183" i="1" s="1"/>
  <c r="B23" i="3"/>
  <c r="D48" i="1"/>
  <c r="E48" i="1" s="1"/>
  <c r="D59" i="1"/>
  <c r="C147" i="1"/>
  <c r="E147" i="1" s="1"/>
  <c r="F155" i="1" s="1"/>
  <c r="E19" i="1" s="1"/>
  <c r="C151" i="1"/>
  <c r="E151" i="1" s="1"/>
  <c r="E102" i="1"/>
  <c r="D103" i="1" s="1"/>
  <c r="E103" i="1" s="1"/>
  <c r="E109" i="1" s="1"/>
  <c r="D110" i="1" s="1"/>
  <c r="E110" i="1" s="1"/>
  <c r="F111" i="1" s="1"/>
  <c r="E107" i="1"/>
  <c r="D108" i="1" s="1"/>
  <c r="E108" i="1" s="1"/>
  <c r="E22" i="1" l="1"/>
  <c r="D50" i="1"/>
  <c r="E50" i="1" s="1"/>
  <c r="E51" i="1" s="1"/>
  <c r="D52" i="1" s="1"/>
  <c r="E52" i="1" s="1"/>
  <c r="F53" i="1" s="1"/>
  <c r="F171" i="1"/>
  <c r="E14" i="1" s="1"/>
  <c r="E16" i="1"/>
  <c r="E12" i="1"/>
  <c r="C118" i="1"/>
  <c r="D119" i="1" s="1"/>
  <c r="E119" i="1" s="1"/>
  <c r="E125" i="1" s="1"/>
  <c r="D126" i="1" s="1"/>
  <c r="E126" i="1" s="1"/>
  <c r="F127" i="1" s="1"/>
  <c r="E17" i="1" s="1"/>
  <c r="E9" i="1" l="1"/>
  <c r="F73" i="1"/>
  <c r="E8" i="1" s="1"/>
  <c r="F185" i="1"/>
  <c r="F188" i="1" s="1"/>
  <c r="E15" i="1"/>
  <c r="D193" i="1" l="1"/>
  <c r="E193" i="1" s="1"/>
  <c r="F194" i="1" s="1"/>
  <c r="E23" i="1" s="1"/>
  <c r="F196" i="1" l="1"/>
  <c r="F199" i="1" s="1"/>
  <c r="F201" i="1" s="1"/>
  <c r="E24" i="1"/>
  <c r="F20" i="1" l="1"/>
  <c r="F18" i="1"/>
  <c r="F21" i="1"/>
  <c r="F11" i="1"/>
  <c r="F19" i="1"/>
  <c r="F10" i="1"/>
  <c r="F13" i="1"/>
  <c r="F12" i="1"/>
  <c r="F16" i="1"/>
  <c r="F14" i="1"/>
  <c r="F17" i="1"/>
  <c r="F22" i="1"/>
  <c r="F15" i="1"/>
  <c r="F8" i="1"/>
  <c r="F9" i="1"/>
  <c r="F23" i="1"/>
  <c r="F24" i="1" l="1"/>
</calcChain>
</file>

<file path=xl/comments1.xml><?xml version="1.0" encoding="utf-8"?>
<comments xmlns="http://schemas.openxmlformats.org/spreadsheetml/2006/main">
  <authors>
    <author/>
  </authors>
  <commentList>
    <comment ref="C45" authorId="0">
      <text>
        <r>
          <rPr>
            <sz val="10"/>
            <color rgb="FF000000"/>
            <rFont val="Arial"/>
            <scheme val="minor"/>
          </rPr>
          <t>======
ID#AAAA2nTs0xI
Clauber Bridi    (2022-03-22 18:28:24)
Informar o número de horas extras trabalhadas em horário diurno de segunda a sábado</t>
        </r>
      </text>
    </comment>
    <comment ref="C47" authorId="0">
      <text>
        <r>
          <rPr>
            <sz val="10"/>
            <color rgb="FF000000"/>
            <rFont val="Arial"/>
            <scheme val="minor"/>
          </rPr>
          <t>======
ID#AAAA2nTky_w
Clauber Bridi    (2022-03-22 18:28:24)
Informar 1 se a base de cálculo for o Salário Mínimo Nacional; Informar 2 se a base de cálculo for o Piso da Categoria;</t>
        </r>
      </text>
    </comment>
    <comment ref="C50" authorId="0">
      <text>
        <r>
          <rPr>
            <sz val="10"/>
            <color rgb="FF000000"/>
            <rFont val="Arial"/>
            <scheme val="minor"/>
          </rPr>
          <t>======
ID#AAAA2ne6GmU
Clauber Bridi    (2022-03-22 18:28:24)
Preencher a planilha Encargos Sociais e CAGED</t>
        </r>
      </text>
    </comment>
    <comment ref="C52" authorId="0">
      <text>
        <r>
          <rPr>
            <sz val="10"/>
            <color rgb="FF000000"/>
            <rFont val="Arial"/>
            <scheme val="minor"/>
          </rPr>
          <t>======
ID#AAAA2nTs0w4
Clauber Bridi    (2022-03-22 18:28:24)
Informar a quantidade de trabalhadores na função</t>
        </r>
      </text>
    </comment>
    <comment ref="D83" authorId="0">
      <text>
        <r>
          <rPr>
            <sz val="10"/>
            <color rgb="FF000000"/>
            <rFont val="Arial"/>
            <scheme val="minor"/>
          </rPr>
          <t>======
ID#AAAA2nTs0yI
Clauber Bridi    (2022-03-22 18:28:24)
Informar o valor unitário estimado para aquisição de cada EPI</t>
        </r>
      </text>
    </comment>
    <comment ref="C84" authorId="0">
      <text>
        <r>
          <rPr>
            <sz val="10"/>
            <color rgb="FF000000"/>
            <rFont val="Arial"/>
            <scheme val="minor"/>
          </rPr>
          <t>======
ID#AAAA2nTs0yA
Clauber Bridi    (2022-03-22 18:28:24)
Informar a durabilidade estimada em meses, para cada EPI</t>
        </r>
      </text>
    </comment>
    <comment ref="D84" authorId="0">
      <text>
        <r>
          <rPr>
            <sz val="10"/>
            <color rgb="FF000000"/>
            <rFont val="Arial"/>
            <scheme val="minor"/>
          </rPr>
          <t>======
ID#AAAA2nTsaOA
Clauber Bridi    (2022-03-22 18:28:24)
Informar o valor unitário estimado para aquisição de cada EPI</t>
        </r>
      </text>
    </comment>
    <comment ref="C85" authorId="0">
      <text>
        <r>
          <rPr>
            <sz val="10"/>
            <color rgb="FF000000"/>
            <rFont val="Arial"/>
            <scheme val="minor"/>
          </rPr>
          <t>======
ID#AAAA2nTsaOk
Clauber Bridi    (2022-03-22 18:28:24)
Informar a durabilidade estimada em meses, para cada EPI</t>
        </r>
      </text>
    </comment>
    <comment ref="C86" authorId="0">
      <text>
        <r>
          <rPr>
            <sz val="10"/>
            <color rgb="FF000000"/>
            <rFont val="Arial"/>
            <scheme val="minor"/>
          </rPr>
          <t>======
ID#AAAA2nTsaOU
Clauber Bridi    (2022-03-22 18:28:24)
Informar a durabilidade estimada em meses, para cada EPI</t>
        </r>
      </text>
    </comment>
    <comment ref="D86" authorId="0">
      <text>
        <r>
          <rPr>
            <sz val="10"/>
            <color rgb="FF000000"/>
            <rFont val="Arial"/>
            <scheme val="minor"/>
          </rPr>
          <t>======
ID#AAAA2nTky_4
Clauber Bridi    (2022-03-22 18:28:24)
Informar o valor unitário estimado para aquisição de cada EPI</t>
        </r>
      </text>
    </comment>
    <comment ref="C106" authorId="0">
      <text>
        <r>
          <rPr>
            <sz val="10"/>
            <color rgb="FF000000"/>
            <rFont val="Arial"/>
            <scheme val="minor"/>
          </rPr>
          <t>======
ID#AAAA2nTs0xQ
Clauber Bridi    (2022-03-22 18:28:24)
Na elaboração do orçamento-base da licitação, informar 0 (zero). Na proposta da licitante, informar a idade do compactador proposto.</t>
        </r>
      </text>
    </comment>
    <comment ref="C142" authorId="0">
      <text>
        <r>
          <rPr>
            <sz val="10"/>
            <color rgb="FF000000"/>
            <rFont val="Arial"/>
            <scheme val="minor"/>
          </rPr>
          <t>======
ID#AAAA2nTs0x4
Clauber Bridi    (2022-03-22 18:28:24)
Informar o consumo estimado do veículo em km/l</t>
        </r>
      </text>
    </comment>
    <comment ref="C146" authorId="0">
      <text>
        <r>
          <rPr>
            <sz val="10"/>
            <color rgb="FF000000"/>
            <rFont val="Arial"/>
            <scheme val="minor"/>
          </rPr>
          <t>======
ID#AAAA2nTsaOc
Clauber Bridi    (2022-03-22 18:28:24)
Informar o consumo de óleo do motor a cada 1000km</t>
        </r>
      </text>
    </comment>
    <comment ref="C148" authorId="0">
      <text>
        <r>
          <rPr>
            <sz val="10"/>
            <color rgb="FF000000"/>
            <rFont val="Arial"/>
            <scheme val="minor"/>
          </rPr>
          <t>======
ID#AAAA2nTsaNo
Clauber Bridi    (2022-03-22 18:28:24)
Informar o consumo de óleo da transmissão a cada 1000km</t>
        </r>
      </text>
    </comment>
    <comment ref="D148" authorId="0">
      <text>
        <r>
          <rPr>
            <sz val="10"/>
            <color rgb="FF000000"/>
            <rFont val="Arial"/>
            <scheme val="minor"/>
          </rPr>
          <t>======
ID#AAAA2nTs0w0
Clauber Bridi    (2022-03-22 18:28:24)
Informar o preço unitário do litro do óleo da transmissão</t>
        </r>
      </text>
    </comment>
    <comment ref="C150" authorId="0">
      <text>
        <r>
          <rPr>
            <sz val="10"/>
            <color rgb="FF000000"/>
            <rFont val="Arial"/>
            <scheme val="minor"/>
          </rPr>
          <t>======
ID#AAAA2nTky_k
Clauber Bridi    (2022-03-22 18:28:24)
Informar o consumo de óleo hidráulico a cada 1000km</t>
        </r>
      </text>
    </comment>
    <comment ref="C152" authorId="0">
      <text>
        <r>
          <rPr>
            <sz val="10"/>
            <color rgb="FF000000"/>
            <rFont val="Arial"/>
            <scheme val="minor"/>
          </rPr>
          <t>======
ID#AAAA2ne6Gmg
Clauber Bridi    (2022-03-22 18:28:24)
Informar o consumo de graxa a cada 1000km</t>
        </r>
      </text>
    </comment>
    <comment ref="D152" authorId="0">
      <text>
        <r>
          <rPr>
            <sz val="10"/>
            <color rgb="FF000000"/>
            <rFont val="Arial"/>
            <scheme val="minor"/>
          </rPr>
          <t>======
ID#AAAA2ne6Gmw
Clauber Bridi    (2022-03-22 18:28:24)
Informar o preço unitário do litro da graxa</t>
        </r>
      </text>
    </comment>
    <comment ref="D164" authorId="0">
      <text>
        <r>
          <rPr>
            <sz val="10"/>
            <color rgb="FF000000"/>
            <rFont val="Arial"/>
            <scheme val="minor"/>
          </rPr>
          <t>======
ID#AAAA2nTs0xk
Clauber Bridi    (2022-03-22 18:28:24)
Informar o preço unitário de cada pneu</t>
        </r>
      </text>
    </comment>
    <comment ref="C165" authorId="0">
      <text>
        <r>
          <rPr>
            <sz val="10"/>
            <color rgb="FF000000"/>
            <rFont val="Arial"/>
            <scheme val="minor"/>
          </rPr>
          <t>======
ID#AAAA2nTsaOM
Clauber Bridi    (2022-03-22 18:28:24)
Informar o número de recapagens por pneu</t>
        </r>
      </text>
    </comment>
    <comment ref="C167" authorId="0">
      <text>
        <r>
          <rPr>
            <sz val="10"/>
            <color rgb="FF000000"/>
            <rFont val="Arial"/>
            <scheme val="minor"/>
          </rPr>
          <t>======
ID#AAAA2nTs0yE
Clauber Bridi    (2022-03-22 18:28:24)
Informar a durabilidade média dos pneus considerando as recapagens, em km</t>
        </r>
      </text>
    </comment>
    <comment ref="D177" authorId="0">
      <text>
        <r>
          <rPr>
            <sz val="10"/>
            <color rgb="FF000000"/>
            <rFont val="Arial"/>
            <scheme val="minor"/>
          </rPr>
          <t>======
ID#AAAA2nTky_M
Clauber Bridi    (2022-03-22 18:28:24)
Informar o valor total para instalação do equipamento de monitoramento da frota.</t>
        </r>
      </text>
    </comment>
    <comment ref="D179" authorId="0">
      <text>
        <r>
          <rPr>
            <sz val="10"/>
            <color rgb="FF000000"/>
            <rFont val="Arial"/>
            <scheme val="minor"/>
          </rPr>
          <t>======
ID#AAAA2nTs0xE
Clauber Bridi    (2022-03-22 18:28:24)
Informar o valor unitário mensal para manutenção dos equipamentos de monitoramento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91SR9k4+h6Bl2Ewobx2rXknAaIQ=="/>
    </ext>
  </extLst>
</comments>
</file>

<file path=xl/comments2.xml><?xml version="1.0" encoding="utf-8"?>
<comments xmlns="http://schemas.openxmlformats.org/spreadsheetml/2006/main">
  <authors>
    <author/>
  </authors>
  <commentList>
    <comment ref="C9" authorId="0">
      <text>
        <r>
          <rPr>
            <sz val="10"/>
            <color rgb="FF000000"/>
            <rFont val="Arial"/>
            <scheme val="minor"/>
          </rPr>
          <t>======
ID#AAAA2nTsaOY
Clauber Bridi    (2022-03-22 18:28:24)
Informar o % de Administração Central estimado</t>
        </r>
      </text>
    </comment>
    <comment ref="E13" authorId="0">
      <text>
        <r>
          <rPr>
            <sz val="10"/>
            <color rgb="FF000000"/>
            <rFont val="Arial"/>
            <scheme val="minor"/>
          </rPr>
          <t>======
ID#AAAA2ne6Gm4
Clauber Bridi    (2022-03-22 18:28:24)
Informar a média de dias úteis entre data de pagamento prevista no contrato e a data final do período de adimplemento da parcela</t>
        </r>
      </text>
    </comment>
    <comment ref="C14" authorId="0">
      <text>
        <r>
          <rPr>
            <sz val="10"/>
            <color rgb="FF000000"/>
            <rFont val="Arial"/>
            <scheme val="minor"/>
          </rPr>
          <t>======
ID#AAAA2nTky_0
Clauber Bridi    (2022-03-22 18:28:24)
Informar o valor estimado de PIS/COFINS. 
1. Adotar 0,65% PIS + 3% COFINS quando o valor anual estimado do contrato for inferior ao limite para tributação pelo regime de incidência não-cumulativa (lucro presumido);
2. Adotar 1,65% PIS + 7,6% COFINS quando o valor anual estimado do contrato for superior ao limite para tributação pelo regime de incidência não-cumulativa (lucro real);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nOoaHTeNxd57+EJ2WKaXaCAZnPw=="/>
    </ext>
  </extLst>
</comments>
</file>

<file path=xl/sharedStrings.xml><?xml version="1.0" encoding="utf-8"?>
<sst xmlns="http://schemas.openxmlformats.org/spreadsheetml/2006/main" count="412" uniqueCount="281">
  <si>
    <t>3. CAGED</t>
  </si>
  <si>
    <r>
      <rPr>
        <b/>
        <sz val="10"/>
        <color rgb="FFFF0000"/>
        <rFont val="Arial"/>
      </rPr>
      <t xml:space="preserve">Nome da empresa: </t>
    </r>
    <r>
      <rPr>
        <sz val="10"/>
        <color rgb="FFFF0000"/>
        <rFont val="Arial"/>
      </rPr>
      <t>XXXXXXX</t>
    </r>
  </si>
  <si>
    <t>2. Composição dos Encargos Sociais (Ref. SINAPI 01/2026)</t>
  </si>
  <si>
    <t>Orientações para preenchimento:</t>
  </si>
  <si>
    <t>Rio Grande do Sul  - Transporte de Resíduos Não-Perigosos</t>
  </si>
  <si>
    <t>Código</t>
  </si>
  <si>
    <t>Descrição</t>
  </si>
  <si>
    <t>Admissões</t>
  </si>
  <si>
    <t>Valor</t>
  </si>
  <si>
    <t>Desligamentos</t>
  </si>
  <si>
    <t>A1</t>
  </si>
  <si>
    <t>INSS</t>
  </si>
  <si>
    <t>Atenção! Preencher somente as células em amarelo e não remover nenhuma fórmula da planilha.</t>
  </si>
  <si>
    <t>A2</t>
  </si>
  <si>
    <t>Dispensados com justa causa</t>
  </si>
  <si>
    <t>SESI</t>
  </si>
  <si>
    <t>1. Transporte de Resíduos Sólidos</t>
  </si>
  <si>
    <t>A3</t>
  </si>
  <si>
    <t>SENAI</t>
  </si>
  <si>
    <t>Dispensados sem justa causa</t>
  </si>
  <si>
    <t>A4</t>
  </si>
  <si>
    <t>1. Preencher somente células em amarelo</t>
  </si>
  <si>
    <t>INCRA</t>
  </si>
  <si>
    <t>Espontâneos</t>
  </si>
  <si>
    <t>A5</t>
  </si>
  <si>
    <t>SEBRAE</t>
  </si>
  <si>
    <t>Planilha de Composição de Custos</t>
  </si>
  <si>
    <t>A6</t>
  </si>
  <si>
    <t>Salário educação</t>
  </si>
  <si>
    <t>A7</t>
  </si>
  <si>
    <t>Seguro contra acidentes de trabalho</t>
  </si>
  <si>
    <t>Fim de contrato por prazo determinado</t>
  </si>
  <si>
    <t>A8</t>
  </si>
  <si>
    <t>FGTS</t>
  </si>
  <si>
    <t>4. Composição do BDI - Benefícios e Despesas Indiretas</t>
  </si>
  <si>
    <t>A</t>
  </si>
  <si>
    <t>Término de contrato</t>
  </si>
  <si>
    <t>SOMA GRUPO A</t>
  </si>
  <si>
    <t>Aposentados</t>
  </si>
  <si>
    <t>Mortos</t>
  </si>
  <si>
    <t>Orçamento Sintético</t>
  </si>
  <si>
    <t>Transferência de saída</t>
  </si>
  <si>
    <t>Descrição do Item</t>
  </si>
  <si>
    <t>Acordo</t>
  </si>
  <si>
    <t>Indicadores</t>
  </si>
  <si>
    <t>Referência estudo TCE</t>
  </si>
  <si>
    <t>Custo (R$/mês)</t>
  </si>
  <si>
    <t>%</t>
  </si>
  <si>
    <t>Estoque recuperado início do Período 01-03-2018</t>
  </si>
  <si>
    <t>B1</t>
  </si>
  <si>
    <t>Repouso semanal remunerado</t>
  </si>
  <si>
    <t>Estoque recuperado final do Período 28-02-2019</t>
  </si>
  <si>
    <t>1° Quartil</t>
  </si>
  <si>
    <t>Não incide</t>
  </si>
  <si>
    <t>Variação Emprego Absoluta de 01-03-2018 a 28-02-2019</t>
  </si>
  <si>
    <t>Médio</t>
  </si>
  <si>
    <t>B2</t>
  </si>
  <si>
    <t>Feriados</t>
  </si>
  <si>
    <t>3° Quartil</t>
  </si>
  <si>
    <t>B3</t>
  </si>
  <si>
    <t>Auxílio Enfermidade</t>
  </si>
  <si>
    <t>Administração Central</t>
  </si>
  <si>
    <t>B4</t>
  </si>
  <si>
    <t>13° salário</t>
  </si>
  <si>
    <t>AC</t>
  </si>
  <si>
    <t>B5</t>
  </si>
  <si>
    <t>Licença paternidade</t>
  </si>
  <si>
    <t>B6</t>
  </si>
  <si>
    <t>Faltas justificadas</t>
  </si>
  <si>
    <t>Estoque Médio</t>
  </si>
  <si>
    <t>B7</t>
  </si>
  <si>
    <t>Dias de chuva</t>
  </si>
  <si>
    <t>B8</t>
  </si>
  <si>
    <t>Auxílio acidente de trabalho</t>
  </si>
  <si>
    <t>Seguros/Riscos/Garantias</t>
  </si>
  <si>
    <t>B9</t>
  </si>
  <si>
    <t>Férias gozadas</t>
  </si>
  <si>
    <t>SRG</t>
  </si>
  <si>
    <t>B10</t>
  </si>
  <si>
    <t>Salário maternidade</t>
  </si>
  <si>
    <t>B</t>
  </si>
  <si>
    <t>SOMA GRUPO B</t>
  </si>
  <si>
    <t>% Demitidos s/ Justa Causa em relação ao Estoque Médio</t>
  </si>
  <si>
    <t>Taxa de Rotatividade</t>
  </si>
  <si>
    <t>C1</t>
  </si>
  <si>
    <t>Aviso prévio indenizado</t>
  </si>
  <si>
    <t>C2</t>
  </si>
  <si>
    <t>Aviso prévio trabalhado</t>
  </si>
  <si>
    <t>Rotatividade temporal (meses)</t>
  </si>
  <si>
    <t>C3</t>
  </si>
  <si>
    <t>Férias indenizadas</t>
  </si>
  <si>
    <t>C4</t>
  </si>
  <si>
    <t>Depósito rescisão sem justa causa</t>
  </si>
  <si>
    <t>Dias ano</t>
  </si>
  <si>
    <t>Lucro</t>
  </si>
  <si>
    <t>C5</t>
  </si>
  <si>
    <t>L</t>
  </si>
  <si>
    <t>Indenização adicional</t>
  </si>
  <si>
    <t>1/3 de férias (dias)</t>
  </si>
  <si>
    <t>C</t>
  </si>
  <si>
    <t>Férias (dias)</t>
  </si>
  <si>
    <t>Despesas Financeiras</t>
  </si>
  <si>
    <t>SOMA GRUPO C</t>
  </si>
  <si>
    <t>DF</t>
  </si>
  <si>
    <t>13º Salário (dias)</t>
  </si>
  <si>
    <t>Dias de Aviso prévio</t>
  </si>
  <si>
    <t>i</t>
  </si>
  <si>
    <t>D1</t>
  </si>
  <si>
    <t>Reincidência de Grupo A sobre Grupo B (sem
considerar INNS sobre 13º, conforme Lei nº
14.973/2024)</t>
  </si>
  <si>
    <t>Tributos - ISS</t>
  </si>
  <si>
    <t>T</t>
  </si>
  <si>
    <t>D2</t>
  </si>
  <si>
    <t>Reincidência de Grupo A sobre Aviso Prévio
Trabalhado e Reincidência do FGTS sobre
Aviso Prévio Indenizado</t>
  </si>
  <si>
    <t>DU</t>
  </si>
  <si>
    <t>Multa FGTS</t>
  </si>
  <si>
    <t>Tributos - PIS/COFINS</t>
  </si>
  <si>
    <t>D</t>
  </si>
  <si>
    <t>SOMA GRUPO D</t>
  </si>
  <si>
    <t>SOMA (A+B+C+D)</t>
  </si>
  <si>
    <t>Fórmula para o cálculo do BDI:</t>
  </si>
  <si>
    <t>{[(1+AC+SRG) x (1+L) x (1+DF)] / (1-T)} -1</t>
  </si>
  <si>
    <t>Resultado do cálculo do BDI:</t>
  </si>
  <si>
    <t xml:space="preserve">     3.1.1. Depreciação     </t>
  </si>
  <si>
    <t xml:space="preserve">     3.1.2. Remuneração do Capital     </t>
  </si>
  <si>
    <t>PREÇO TOTAL MENSAL COM A COLETA</t>
  </si>
  <si>
    <t>Quantitativos</t>
  </si>
  <si>
    <t>Mão-de-obra</t>
  </si>
  <si>
    <t>Quantidade</t>
  </si>
  <si>
    <t>Total de mão-de-obra (postos de trabalho)</t>
  </si>
  <si>
    <t>Veículos e Equipamentos</t>
  </si>
  <si>
    <t>Fator de utilização (FU)</t>
  </si>
  <si>
    <t>1. Mão-de-obra</t>
  </si>
  <si>
    <t>1.1. Motorista</t>
  </si>
  <si>
    <t>Discriminação</t>
  </si>
  <si>
    <t>Unidade</t>
  </si>
  <si>
    <t>Custo unitário</t>
  </si>
  <si>
    <t>Subtotal</t>
  </si>
  <si>
    <r>
      <rPr>
        <b/>
        <sz val="9"/>
        <color theme="1"/>
        <rFont val="Arial"/>
      </rPr>
      <t xml:space="preserve">Total </t>
    </r>
    <r>
      <rPr>
        <b/>
        <u/>
        <sz val="9"/>
        <color theme="1"/>
        <rFont val="Arial"/>
      </rPr>
      <t>(R$)</t>
    </r>
  </si>
  <si>
    <t>Motorista estrada bi-truck CCT RS001999/2026</t>
  </si>
  <si>
    <t>mês</t>
  </si>
  <si>
    <t>Salário mínimo nacional (1)</t>
  </si>
  <si>
    <t>Horas Extras (100%)</t>
  </si>
  <si>
    <t>hora</t>
  </si>
  <si>
    <t>Horas Extras (50%)</t>
  </si>
  <si>
    <t>Descanso Semanal Remunerado (DSR) - hora extra</t>
  </si>
  <si>
    <t>R$</t>
  </si>
  <si>
    <t>Base de cálculo da Insalubridade</t>
  </si>
  <si>
    <t>Adicional de Insalubridade</t>
  </si>
  <si>
    <t>Soma</t>
  </si>
  <si>
    <t>Encargos Sociais</t>
  </si>
  <si>
    <t>Total por Motorista</t>
  </si>
  <si>
    <t>Total do Efetivo</t>
  </si>
  <si>
    <t>homem</t>
  </si>
  <si>
    <t>Fator de utilização</t>
  </si>
  <si>
    <t>1.2. Vale Transporte</t>
  </si>
  <si>
    <r>
      <rPr>
        <b/>
        <sz val="9"/>
        <color theme="1"/>
        <rFont val="Arial"/>
      </rPr>
      <t xml:space="preserve">Total </t>
    </r>
    <r>
      <rPr>
        <b/>
        <u/>
        <sz val="9"/>
        <color theme="1"/>
        <rFont val="Arial"/>
      </rPr>
      <t>(R$)</t>
    </r>
  </si>
  <si>
    <t>Vale Transporte</t>
  </si>
  <si>
    <t>Dias Trabalhados por mês</t>
  </si>
  <si>
    <t>dia</t>
  </si>
  <si>
    <t>Motorista</t>
  </si>
  <si>
    <t>vale</t>
  </si>
  <si>
    <t>1.3. Vale-refeição (diário)</t>
  </si>
  <si>
    <r>
      <rPr>
        <b/>
        <sz val="9"/>
        <color theme="1"/>
        <rFont val="Arial"/>
      </rPr>
      <t xml:space="preserve">Total </t>
    </r>
    <r>
      <rPr>
        <b/>
        <u/>
        <sz val="9"/>
        <color theme="1"/>
        <rFont val="Arial"/>
      </rPr>
      <t>(R$)</t>
    </r>
  </si>
  <si>
    <t>unidade</t>
  </si>
  <si>
    <t>Desconto do profissional</t>
  </si>
  <si>
    <t>percentual</t>
  </si>
  <si>
    <t>1.4. Auxílio Alimentação (mensal)</t>
  </si>
  <si>
    <r>
      <rPr>
        <b/>
        <sz val="9"/>
        <color theme="1"/>
        <rFont val="Arial"/>
      </rPr>
      <t xml:space="preserve">Total </t>
    </r>
    <r>
      <rPr>
        <b/>
        <u/>
        <sz val="9"/>
        <color theme="1"/>
        <rFont val="Arial"/>
      </rPr>
      <t>(R$)</t>
    </r>
  </si>
  <si>
    <t>Custo Mensal com Mão-de-obra (R$/mês)</t>
  </si>
  <si>
    <t>2. Uniformes e Equipamentos de Proteção Individual</t>
  </si>
  <si>
    <t>2.1. Uniformes e EPIs</t>
  </si>
  <si>
    <t>Durabilidade (meses)</t>
  </si>
  <si>
    <r>
      <rPr>
        <b/>
        <sz val="9"/>
        <color theme="1"/>
        <rFont val="Arial"/>
      </rPr>
      <t xml:space="preserve">Total </t>
    </r>
    <r>
      <rPr>
        <b/>
        <u/>
        <sz val="9"/>
        <color theme="1"/>
        <rFont val="Arial"/>
      </rPr>
      <t>(R$)</t>
    </r>
  </si>
  <si>
    <t>Capacete de proteção com abafador auditivo</t>
  </si>
  <si>
    <t>Óculos de proteção</t>
  </si>
  <si>
    <t>Máscara padrão Classe PFF-1 (S) N95 proteção contra vapores orgânicos</t>
  </si>
  <si>
    <t>Luvas de proteção contra agentes perfurocortantes</t>
  </si>
  <si>
    <t>Botina de segurança</t>
  </si>
  <si>
    <t>par</t>
  </si>
  <si>
    <t>5. Depreciação Referencial TCE/RS (%)</t>
  </si>
  <si>
    <t>Calça de brim</t>
  </si>
  <si>
    <t>Camisa de brim com faixas refletivas</t>
  </si>
  <si>
    <t>Higienização de uniformes e EPIs</t>
  </si>
  <si>
    <t>Idade do veículo (ano)</t>
  </si>
  <si>
    <t>R$ mensal</t>
  </si>
  <si>
    <t>Depreciação Média</t>
  </si>
  <si>
    <t>Custo Mensal com Uniformes e EPIs (R$/mês)</t>
  </si>
  <si>
    <t>3. Veículos e Equipamentos</t>
  </si>
  <si>
    <r>
      <rPr>
        <sz val="10"/>
        <color theme="1"/>
        <rFont val="Arial"/>
      </rPr>
      <t xml:space="preserve">3.1. Veículo com Guindaste </t>
    </r>
    <r>
      <rPr>
        <i/>
        <sz val="10"/>
        <color theme="1"/>
        <rFont val="Arial"/>
      </rPr>
      <t>Roll On Roll Off</t>
    </r>
    <r>
      <rPr>
        <sz val="10"/>
        <color theme="1"/>
        <rFont val="Arial"/>
      </rPr>
      <t xml:space="preserve"> e contêineres 32 m³</t>
    </r>
  </si>
  <si>
    <t>3.1.1. Depreciação</t>
  </si>
  <si>
    <r>
      <rPr>
        <b/>
        <sz val="9"/>
        <color theme="1"/>
        <rFont val="Arial"/>
      </rPr>
      <t xml:space="preserve">Total </t>
    </r>
    <r>
      <rPr>
        <b/>
        <u/>
        <sz val="9"/>
        <color theme="1"/>
        <rFont val="Arial"/>
      </rPr>
      <t>(R$)</t>
    </r>
  </si>
  <si>
    <t>Custo de aquisição do chassis</t>
  </si>
  <si>
    <t>Vida útil do chassis</t>
  </si>
  <si>
    <t>anos</t>
  </si>
  <si>
    <t>Idade do veículo</t>
  </si>
  <si>
    <t>Depreciação do chassis</t>
  </si>
  <si>
    <t>Depreciação mensal veículo</t>
  </si>
  <si>
    <t>6. Remuneração de Capital</t>
  </si>
  <si>
    <t>Custo de aquisição do contêiner 32m²</t>
  </si>
  <si>
    <t>Fórmula de cálculo da remuneração de capital:</t>
  </si>
  <si>
    <t>Vida útil do contêiner</t>
  </si>
  <si>
    <t>Idade do contêiner</t>
  </si>
  <si>
    <t>Depreciação do contêiner</t>
  </si>
  <si>
    <t>Depreciação mensal</t>
  </si>
  <si>
    <r>
      <rPr>
        <sz val="12"/>
        <color theme="1"/>
        <rFont val="Arial"/>
      </rPr>
      <t>J</t>
    </r>
    <r>
      <rPr>
        <vertAlign val="subscript"/>
        <sz val="12"/>
        <color rgb="FF000000"/>
        <rFont val="Arial"/>
      </rPr>
      <t>m</t>
    </r>
    <r>
      <rPr>
        <sz val="12"/>
        <color rgb="FF000000"/>
        <rFont val="Arial"/>
      </rPr>
      <t xml:space="preserve"> = remuneração de capital mensal</t>
    </r>
  </si>
  <si>
    <t>i = taxa de juros do mercado (sugere-se adotar a taxa SELIC)</t>
  </si>
  <si>
    <t>Im = investimento médio</t>
  </si>
  <si>
    <r>
      <rPr>
        <sz val="12"/>
        <color theme="1"/>
        <rFont val="Arial"/>
      </rPr>
      <t>V</t>
    </r>
    <r>
      <rPr>
        <vertAlign val="subscript"/>
        <sz val="12"/>
        <color rgb="FF000000"/>
        <rFont val="Arial"/>
      </rPr>
      <t>0</t>
    </r>
    <r>
      <rPr>
        <sz val="12"/>
        <color rgb="FF000000"/>
        <rFont val="Arial"/>
      </rPr>
      <t xml:space="preserve"> = valor inicial do bem</t>
    </r>
  </si>
  <si>
    <r>
      <rPr>
        <sz val="12"/>
        <color theme="1"/>
        <rFont val="Arial"/>
      </rPr>
      <t>V</t>
    </r>
    <r>
      <rPr>
        <vertAlign val="subscript"/>
        <sz val="12"/>
        <color rgb="FF000000"/>
        <rFont val="Arial"/>
      </rPr>
      <t>r</t>
    </r>
    <r>
      <rPr>
        <sz val="12"/>
        <color rgb="FF000000"/>
        <rFont val="Arial"/>
      </rPr>
      <t xml:space="preserve"> = valor residual do bem</t>
    </r>
  </si>
  <si>
    <t>Total por veículo</t>
  </si>
  <si>
    <t>n = vida útil do bem em anos</t>
  </si>
  <si>
    <t>Total da frota</t>
  </si>
  <si>
    <t>3.1.2. Remuneração do Capital</t>
  </si>
  <si>
    <r>
      <rPr>
        <b/>
        <sz val="9"/>
        <color theme="1"/>
        <rFont val="Arial"/>
      </rPr>
      <t xml:space="preserve">Total </t>
    </r>
    <r>
      <rPr>
        <b/>
        <u/>
        <sz val="9"/>
        <color theme="1"/>
        <rFont val="Arial"/>
      </rPr>
      <t>(R$)</t>
    </r>
  </si>
  <si>
    <t>Custo do chassis</t>
  </si>
  <si>
    <t>Taxa de juros anual nominal</t>
  </si>
  <si>
    <t>Valor do veículo proposto (V0)</t>
  </si>
  <si>
    <t>Investimento médio total do chassis</t>
  </si>
  <si>
    <t>Remuneração mensal de capital do chassis</t>
  </si>
  <si>
    <t>Custo do contêiner</t>
  </si>
  <si>
    <t>Valor do contêiner proposto (V0)</t>
  </si>
  <si>
    <t>Investimento médio total do contêiner</t>
  </si>
  <si>
    <t>Remuneração mensal de capital das caixas</t>
  </si>
  <si>
    <t>Total</t>
  </si>
  <si>
    <t>3.1.3. Impostos e Seguros</t>
  </si>
  <si>
    <r>
      <rPr>
        <b/>
        <sz val="9"/>
        <color theme="1"/>
        <rFont val="Arial"/>
      </rPr>
      <t xml:space="preserve">Total </t>
    </r>
    <r>
      <rPr>
        <b/>
        <u/>
        <sz val="9"/>
        <color theme="1"/>
        <rFont val="Arial"/>
      </rPr>
      <t>(R$)</t>
    </r>
  </si>
  <si>
    <t>IPVA</t>
  </si>
  <si>
    <t>Licenciamento e Seguro obrigatório</t>
  </si>
  <si>
    <t>Seguro contra terceiros</t>
  </si>
  <si>
    <t>Impostos e seguros mensais</t>
  </si>
  <si>
    <t>3.1.4. Consumos</t>
  </si>
  <si>
    <t>Quilometragem mensal</t>
  </si>
  <si>
    <t>Consumo</t>
  </si>
  <si>
    <r>
      <rPr>
        <b/>
        <sz val="9"/>
        <color theme="1"/>
        <rFont val="Arial"/>
      </rPr>
      <t xml:space="preserve">Total </t>
    </r>
    <r>
      <rPr>
        <b/>
        <u/>
        <sz val="9"/>
        <color theme="1"/>
        <rFont val="Arial"/>
      </rPr>
      <t>(R$)</t>
    </r>
  </si>
  <si>
    <t>Custo de óleo diesel / km rodado</t>
  </si>
  <si>
    <t>km/l</t>
  </si>
  <si>
    <t>Custo mensal com óleo diesel</t>
  </si>
  <si>
    <t>km</t>
  </si>
  <si>
    <t>Custo de Arla diesel / km rodado</t>
  </si>
  <si>
    <t>Custo mensal com Arla</t>
  </si>
  <si>
    <t>Custo de óleo do motor /1.000 km rodados</t>
  </si>
  <si>
    <t>l/1.000 km</t>
  </si>
  <si>
    <t>Custo mensal com óleo do motor</t>
  </si>
  <si>
    <t>Custo de óleo da transmissão /1.000 km</t>
  </si>
  <si>
    <t>Custo mensal com óleo da transmissão</t>
  </si>
  <si>
    <t>Custo de óleo hidráulico / 1.000 km</t>
  </si>
  <si>
    <t>Custo mensal com óleo hidráulico</t>
  </si>
  <si>
    <t>Custo de graxa /1.000 km rodados</t>
  </si>
  <si>
    <t>kg/1.000 km</t>
  </si>
  <si>
    <t>Custo mensal com graxa</t>
  </si>
  <si>
    <t>Custo com consumos/km rodado</t>
  </si>
  <si>
    <t>R$/km rodado</t>
  </si>
  <si>
    <t>3.1.5. Manutenção</t>
  </si>
  <si>
    <r>
      <rPr>
        <b/>
        <sz val="9"/>
        <color theme="1"/>
        <rFont val="Arial"/>
      </rPr>
      <t xml:space="preserve">Total </t>
    </r>
    <r>
      <rPr>
        <b/>
        <u/>
        <sz val="9"/>
        <color theme="1"/>
        <rFont val="Arial"/>
      </rPr>
      <t>(R$)</t>
    </r>
  </si>
  <si>
    <t>Custo de manutenção do caminhão</t>
  </si>
  <si>
    <t>3.1.6. Pneus</t>
  </si>
  <si>
    <r>
      <rPr>
        <b/>
        <sz val="9"/>
        <color theme="1"/>
        <rFont val="Arial"/>
      </rPr>
      <t xml:space="preserve">Total </t>
    </r>
    <r>
      <rPr>
        <b/>
        <u/>
        <sz val="9"/>
        <color theme="1"/>
        <rFont val="Arial"/>
      </rPr>
      <t>(R$)</t>
    </r>
  </si>
  <si>
    <t>Custo do jogo de pneus 275/80 R22,5</t>
  </si>
  <si>
    <t>Número de recapagens por pneu</t>
  </si>
  <si>
    <t>Custo de recapagem</t>
  </si>
  <si>
    <t>Custo jg. compl. + 1 recap./ km rodado</t>
  </si>
  <si>
    <t>km/jogo</t>
  </si>
  <si>
    <t>Custo mensal com pneus</t>
  </si>
  <si>
    <t>Custo Mensal com Veículos e Equipamentos (R$/mês)</t>
  </si>
  <si>
    <t>4. Monitoramento da Frota</t>
  </si>
  <si>
    <r>
      <rPr>
        <b/>
        <sz val="9"/>
        <color theme="1"/>
        <rFont val="Arial"/>
      </rPr>
      <t xml:space="preserve">Total </t>
    </r>
    <r>
      <rPr>
        <b/>
        <u/>
        <sz val="9"/>
        <color theme="1"/>
        <rFont val="Arial"/>
      </rPr>
      <t>(R$)</t>
    </r>
  </si>
  <si>
    <t>Implantação dos equipamentos de monitoramento</t>
  </si>
  <si>
    <t>cj</t>
  </si>
  <si>
    <t>Custo mensal com implantação</t>
  </si>
  <si>
    <t>Manutenção dos equipamentos de monitoramento</t>
  </si>
  <si>
    <t>Custo mensal com manutenção</t>
  </si>
  <si>
    <t>Custo Mensal com Monitoramento da Frota (R$/mês)</t>
  </si>
  <si>
    <t>CUSTO TOTAL MENSAL COM TRANSPORTE (R$/mês)</t>
  </si>
  <si>
    <t>CUSTO TOTAL MENSAL COM DESPESAS OPERACIONAIS (R$/mês)</t>
  </si>
  <si>
    <t>5. Benefícios e Despesas Indiretas - BDI</t>
  </si>
  <si>
    <r>
      <rPr>
        <b/>
        <sz val="9"/>
        <color theme="1"/>
        <rFont val="Arial"/>
      </rPr>
      <t xml:space="preserve">Total </t>
    </r>
    <r>
      <rPr>
        <b/>
        <u/>
        <sz val="9"/>
        <color theme="1"/>
        <rFont val="Arial"/>
      </rPr>
      <t>(R$)</t>
    </r>
  </si>
  <si>
    <t>Benefícios e despesas indiretas</t>
  </si>
  <si>
    <t>PREÇO MENSAL TRANSPORTE (R$)</t>
  </si>
  <si>
    <t>Quantidade média de cargas por mês</t>
  </si>
  <si>
    <t>carga</t>
  </si>
  <si>
    <t>Custo por carga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</si>
</sst>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(* #,##0.00_);_(* \(#,##0.00\);_(* &quot;-&quot;??_);_(@_)"/>
    <numFmt numFmtId="165" formatCode="&quot;R$ &quot;#,##0.00"/>
    <numFmt numFmtId="166" formatCode="0.0000"/>
    <numFmt numFmtId="167" formatCode="&quot;R$ &quot;#,##0.00_);\(&quot;R$ &quot;#,##0.00\)"/>
    <numFmt numFmtId="168" formatCode="_(* #,##0_);_(* \(#,##0\);_(* &quot;-&quot;??_);_(@_)"/>
    <numFmt numFmtId="169" formatCode="_-&quot;R$&quot;\ * #,##0.00_-;\-&quot;R$&quot;\ * #,##0.00_-;_-&quot;R$&quot;\ * &quot;-&quot;??_-;_-@"/>
    <numFmt numFmtId="170" formatCode="_-* #,##0.00_-;\-* #,##0.00_-;_-* &quot;-&quot;??_-;_-@"/>
    <numFmt numFmtId="171" formatCode="_(* #,##0.000_);_(* \(#,##0.000\);_(* &quot;-&quot;??_);_(@_)"/>
    <numFmt numFmtId="172" formatCode="_([$R$ -416]* #,##0.00_);_([$R$ -416]* \(#,##0.00\);_([$R$ -416]* &quot;-&quot;??_);_(@_)"/>
  </numFmts>
  <fonts count="27" x14ac:knownFonts="1">
    <font>
      <sz val="10"/>
      <color rgb="FF000000"/>
      <name val="Arial"/>
      <scheme val="minor"/>
    </font>
    <font>
      <sz val="10"/>
      <color theme="1"/>
      <name val="Arial"/>
    </font>
    <font>
      <b/>
      <sz val="12"/>
      <color rgb="FFFF0000"/>
      <name val="Arial"/>
    </font>
    <font>
      <b/>
      <sz val="13"/>
      <color theme="1"/>
      <name val="Arial"/>
    </font>
    <font>
      <sz val="10"/>
      <name val="Arial"/>
    </font>
    <font>
      <b/>
      <sz val="10"/>
      <color rgb="FFFF0000"/>
      <name val="Arial"/>
    </font>
    <font>
      <b/>
      <sz val="12"/>
      <color theme="1"/>
      <name val="Arial"/>
    </font>
    <font>
      <b/>
      <sz val="14"/>
      <color theme="1"/>
      <name val="Arial"/>
    </font>
    <font>
      <b/>
      <sz val="11"/>
      <color theme="1"/>
      <name val="Arial"/>
    </font>
    <font>
      <sz val="11"/>
      <color theme="1"/>
      <name val="Arial"/>
    </font>
    <font>
      <b/>
      <sz val="10"/>
      <color theme="1"/>
      <name val="Arial"/>
    </font>
    <font>
      <sz val="11"/>
      <color rgb="FF000000"/>
      <name val="Arial"/>
    </font>
    <font>
      <b/>
      <sz val="11"/>
      <color rgb="FF000000"/>
      <name val="Arial"/>
    </font>
    <font>
      <sz val="10"/>
      <color rgb="FF000000"/>
      <name val="Arial"/>
    </font>
    <font>
      <sz val="13"/>
      <color theme="1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b/>
      <sz val="9"/>
      <color theme="1"/>
      <name val="Arial"/>
    </font>
    <font>
      <sz val="8"/>
      <color theme="1"/>
      <name val="Arial"/>
    </font>
    <font>
      <sz val="12"/>
      <color theme="1"/>
      <name val="Arial"/>
    </font>
    <font>
      <sz val="9"/>
      <color theme="1"/>
      <name val="Arial"/>
    </font>
    <font>
      <sz val="10"/>
      <color rgb="FFFF0000"/>
      <name val="Arial"/>
    </font>
    <font>
      <b/>
      <u/>
      <sz val="9"/>
      <color theme="1"/>
      <name val="Arial"/>
    </font>
    <font>
      <i/>
      <sz val="10"/>
      <color theme="1"/>
      <name val="Arial"/>
    </font>
    <font>
      <vertAlign val="subscript"/>
      <sz val="12"/>
      <color rgb="FF000000"/>
      <name val="Arial"/>
    </font>
    <font>
      <sz val="12"/>
      <color rgb="FF000000"/>
      <name val="Arial"/>
    </font>
  </fonts>
  <fills count="12">
    <fill>
      <patternFill patternType="none"/>
    </fill>
    <fill>
      <patternFill patternType="gray125"/>
    </fill>
    <fill>
      <patternFill patternType="solid">
        <fgColor rgb="FFDDD9C3"/>
        <bgColor rgb="FFDDD9C3"/>
      </patternFill>
    </fill>
    <fill>
      <patternFill patternType="solid">
        <fgColor rgb="FFBFBFBF"/>
        <bgColor rgb="FFBFBFBF"/>
      </patternFill>
    </fill>
    <fill>
      <patternFill patternType="solid">
        <fgColor rgb="FFFFFF00"/>
        <bgColor rgb="FFFFFF00"/>
      </patternFill>
    </fill>
    <fill>
      <patternFill patternType="solid">
        <fgColor rgb="FFD8D8D8"/>
        <bgColor rgb="FFD8D8D8"/>
      </patternFill>
    </fill>
    <fill>
      <patternFill patternType="solid">
        <fgColor rgb="FFA5A5A5"/>
        <bgColor rgb="FFA5A5A5"/>
      </patternFill>
    </fill>
    <fill>
      <patternFill patternType="solid">
        <fgColor theme="0"/>
        <bgColor theme="0"/>
      </patternFill>
    </fill>
    <fill>
      <patternFill patternType="solid">
        <fgColor rgb="FFC0C0C0"/>
        <bgColor rgb="FFC0C0C0"/>
      </patternFill>
    </fill>
    <fill>
      <patternFill patternType="solid">
        <fgColor rgb="FFC6D9F0"/>
        <bgColor rgb="FFC6D9F0"/>
      </patternFill>
    </fill>
    <fill>
      <patternFill patternType="solid">
        <fgColor rgb="FFFFFFFF"/>
        <bgColor rgb="FFFFFFFF"/>
      </patternFill>
    </fill>
    <fill>
      <patternFill patternType="solid">
        <fgColor rgb="FFEEECE1"/>
        <bgColor rgb="FFEEECE1"/>
      </patternFill>
    </fill>
  </fills>
  <borders count="7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8">
    <xf numFmtId="0" fontId="0" fillId="0" borderId="0" xfId="0" applyFont="1" applyAlignment="1"/>
    <xf numFmtId="0" fontId="1" fillId="0" borderId="0" xfId="0" applyFont="1"/>
    <xf numFmtId="4" fontId="2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6" xfId="0" applyFont="1" applyBorder="1"/>
    <xf numFmtId="0" fontId="9" fillId="0" borderId="7" xfId="0" applyFont="1" applyBorder="1"/>
    <xf numFmtId="0" fontId="10" fillId="0" borderId="0" xfId="0" applyFont="1" applyAlignment="1">
      <alignment vertical="center"/>
    </xf>
    <xf numFmtId="0" fontId="11" fillId="0" borderId="8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1" fillId="0" borderId="9" xfId="0" applyFont="1" applyBorder="1" applyAlignment="1">
      <alignment horizontal="left" vertical="center"/>
    </xf>
    <xf numFmtId="0" fontId="8" fillId="0" borderId="11" xfId="0" applyFont="1" applyBorder="1"/>
    <xf numFmtId="0" fontId="9" fillId="0" borderId="0" xfId="0" applyFont="1"/>
    <xf numFmtId="0" fontId="11" fillId="0" borderId="12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8" fillId="4" borderId="12" xfId="0" applyFont="1" applyFill="1" applyBorder="1"/>
    <xf numFmtId="0" fontId="9" fillId="0" borderId="0" xfId="0" applyFont="1" applyAlignment="1">
      <alignment horizontal="center"/>
    </xf>
    <xf numFmtId="0" fontId="8" fillId="0" borderId="8" xfId="0" applyFont="1" applyBorder="1"/>
    <xf numFmtId="10" fontId="11" fillId="0" borderId="12" xfId="0" applyNumberFormat="1" applyFont="1" applyBorder="1" applyAlignment="1">
      <alignment horizontal="right" vertical="center"/>
    </xf>
    <xf numFmtId="0" fontId="9" fillId="0" borderId="8" xfId="0" applyFont="1" applyBorder="1"/>
    <xf numFmtId="0" fontId="9" fillId="4" borderId="12" xfId="0" applyFont="1" applyFill="1" applyBorder="1"/>
    <xf numFmtId="0" fontId="1" fillId="0" borderId="19" xfId="0" applyFont="1" applyBorder="1" applyAlignment="1">
      <alignment vertical="center"/>
    </xf>
    <xf numFmtId="0" fontId="12" fillId="0" borderId="9" xfId="0" applyFont="1" applyBorder="1" applyAlignment="1">
      <alignment horizontal="left" vertical="center"/>
    </xf>
    <xf numFmtId="164" fontId="1" fillId="0" borderId="20" xfId="0" applyNumberFormat="1" applyFont="1" applyBorder="1" applyAlignment="1">
      <alignment vertical="center"/>
    </xf>
    <xf numFmtId="0" fontId="9" fillId="0" borderId="11" xfId="0" applyFont="1" applyBorder="1"/>
    <xf numFmtId="0" fontId="6" fillId="0" borderId="2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4" borderId="22" xfId="0" applyFont="1" applyFill="1" applyBorder="1"/>
    <xf numFmtId="0" fontId="6" fillId="0" borderId="23" xfId="0" applyFont="1" applyBorder="1" applyAlignment="1">
      <alignment horizontal="center" vertical="center"/>
    </xf>
    <xf numFmtId="10" fontId="12" fillId="0" borderId="12" xfId="0" applyNumberFormat="1" applyFont="1" applyBorder="1" applyAlignment="1">
      <alignment horizontal="right" vertical="center"/>
    </xf>
    <xf numFmtId="164" fontId="10" fillId="0" borderId="24" xfId="0" applyNumberFormat="1" applyFont="1" applyBorder="1" applyAlignment="1">
      <alignment horizontal="center" vertical="center"/>
    </xf>
    <xf numFmtId="0" fontId="9" fillId="0" borderId="25" xfId="0" applyFont="1" applyBorder="1"/>
    <xf numFmtId="0" fontId="8" fillId="0" borderId="21" xfId="0" applyFont="1" applyBorder="1" applyAlignment="1">
      <alignment horizontal="left" vertical="center"/>
    </xf>
    <xf numFmtId="164" fontId="1" fillId="0" borderId="4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24" xfId="0" applyNumberFormat="1" applyFont="1" applyBorder="1" applyAlignment="1">
      <alignment vertical="center"/>
    </xf>
    <xf numFmtId="0" fontId="11" fillId="5" borderId="8" xfId="0" applyFont="1" applyFill="1" applyBorder="1" applyAlignment="1">
      <alignment horizontal="left" vertical="center"/>
    </xf>
    <xf numFmtId="164" fontId="10" fillId="0" borderId="26" xfId="0" applyNumberFormat="1" applyFont="1" applyBorder="1" applyAlignment="1">
      <alignment horizontal="center" vertical="center"/>
    </xf>
    <xf numFmtId="0" fontId="12" fillId="5" borderId="9" xfId="0" applyFont="1" applyFill="1" applyBorder="1" applyAlignment="1">
      <alignment horizontal="left" vertical="center"/>
    </xf>
    <xf numFmtId="0" fontId="9" fillId="0" borderId="27" xfId="0" applyFont="1" applyBorder="1"/>
    <xf numFmtId="10" fontId="12" fillId="5" borderId="12" xfId="0" applyNumberFormat="1" applyFont="1" applyFill="1" applyBorder="1" applyAlignment="1">
      <alignment horizontal="right" vertical="center"/>
    </xf>
    <xf numFmtId="0" fontId="9" fillId="4" borderId="28" xfId="0" applyFont="1" applyFill="1" applyBorder="1"/>
    <xf numFmtId="0" fontId="9" fillId="0" borderId="21" xfId="0" applyFont="1" applyBorder="1"/>
    <xf numFmtId="0" fontId="9" fillId="0" borderId="9" xfId="0" applyFont="1" applyBorder="1" applyAlignment="1">
      <alignment horizontal="left" vertical="center"/>
    </xf>
    <xf numFmtId="0" fontId="11" fillId="0" borderId="12" xfId="0" applyFont="1" applyBorder="1" applyAlignment="1">
      <alignment horizontal="right" vertical="center"/>
    </xf>
    <xf numFmtId="9" fontId="9" fillId="0" borderId="8" xfId="0" applyNumberFormat="1" applyFont="1" applyBorder="1"/>
    <xf numFmtId="9" fontId="9" fillId="0" borderId="9" xfId="0" applyNumberFormat="1" applyFont="1" applyBorder="1" applyAlignment="1">
      <alignment horizontal="center"/>
    </xf>
    <xf numFmtId="164" fontId="10" fillId="0" borderId="29" xfId="0" applyNumberFormat="1" applyFont="1" applyBorder="1" applyAlignment="1">
      <alignment vertical="center"/>
    </xf>
    <xf numFmtId="164" fontId="10" fillId="0" borderId="30" xfId="0" applyNumberFormat="1" applyFont="1" applyBorder="1" applyAlignment="1">
      <alignment vertical="center"/>
    </xf>
    <xf numFmtId="9" fontId="9" fillId="0" borderId="12" xfId="0" applyNumberFormat="1" applyFont="1" applyBorder="1"/>
    <xf numFmtId="10" fontId="11" fillId="0" borderId="12" xfId="0" applyNumberFormat="1" applyFont="1" applyBorder="1" applyAlignment="1">
      <alignment horizontal="right" vertical="center"/>
    </xf>
    <xf numFmtId="0" fontId="9" fillId="0" borderId="12" xfId="0" applyFont="1" applyBorder="1"/>
    <xf numFmtId="0" fontId="9" fillId="0" borderId="31" xfId="0" applyFont="1" applyBorder="1" applyAlignment="1">
      <alignment horizontal="left" vertical="center"/>
    </xf>
    <xf numFmtId="165" fontId="10" fillId="0" borderId="9" xfId="0" applyNumberFormat="1" applyFont="1" applyBorder="1" applyAlignment="1">
      <alignment vertical="center"/>
    </xf>
    <xf numFmtId="0" fontId="9" fillId="0" borderId="26" xfId="0" applyFont="1" applyBorder="1" applyAlignment="1">
      <alignment horizontal="center" vertical="center"/>
    </xf>
    <xf numFmtId="0" fontId="9" fillId="0" borderId="23" xfId="0" applyFont="1" applyBorder="1"/>
    <xf numFmtId="10" fontId="9" fillId="4" borderId="32" xfId="0" applyNumberFormat="1" applyFont="1" applyFill="1" applyBorder="1" applyAlignment="1">
      <alignment horizontal="center" vertical="center"/>
    </xf>
    <xf numFmtId="10" fontId="9" fillId="0" borderId="8" xfId="0" applyNumberFormat="1" applyFont="1" applyBorder="1" applyAlignment="1">
      <alignment horizontal="right"/>
    </xf>
    <xf numFmtId="0" fontId="11" fillId="0" borderId="8" xfId="0" applyFont="1" applyBorder="1" applyAlignment="1">
      <alignment horizontal="left" vertical="center"/>
    </xf>
    <xf numFmtId="10" fontId="9" fillId="0" borderId="9" xfId="0" applyNumberFormat="1" applyFont="1" applyBorder="1" applyAlignment="1">
      <alignment horizontal="right"/>
    </xf>
    <xf numFmtId="10" fontId="10" fillId="0" borderId="33" xfId="0" applyNumberFormat="1" applyFont="1" applyBorder="1" applyAlignment="1">
      <alignment vertical="center"/>
    </xf>
    <xf numFmtId="10" fontId="9" fillId="0" borderId="12" xfId="0" applyNumberFormat="1" applyFont="1" applyBorder="1" applyAlignment="1">
      <alignment horizontal="right"/>
    </xf>
    <xf numFmtId="165" fontId="10" fillId="0" borderId="0" xfId="0" applyNumberFormat="1" applyFont="1" applyAlignment="1">
      <alignment vertical="center"/>
    </xf>
    <xf numFmtId="164" fontId="10" fillId="0" borderId="0" xfId="0" applyNumberFormat="1" applyFont="1" applyAlignment="1">
      <alignment vertical="center"/>
    </xf>
    <xf numFmtId="0" fontId="9" fillId="0" borderId="8" xfId="0" applyFont="1" applyBorder="1" applyAlignment="1">
      <alignment horizontal="left" vertical="center"/>
    </xf>
    <xf numFmtId="0" fontId="8" fillId="0" borderId="34" xfId="0" applyFont="1" applyBorder="1"/>
    <xf numFmtId="0" fontId="9" fillId="0" borderId="9" xfId="0" applyFont="1" applyBorder="1" applyAlignment="1">
      <alignment horizontal="center" vertical="center"/>
    </xf>
    <xf numFmtId="0" fontId="10" fillId="0" borderId="0" xfId="0" applyFont="1"/>
    <xf numFmtId="10" fontId="9" fillId="4" borderId="12" xfId="0" applyNumberFormat="1" applyFont="1" applyFill="1" applyBorder="1" applyAlignment="1">
      <alignment horizontal="center" vertical="center"/>
    </xf>
    <xf numFmtId="164" fontId="1" fillId="0" borderId="29" xfId="0" applyNumberFormat="1" applyFont="1" applyBorder="1" applyAlignment="1">
      <alignment vertical="center"/>
    </xf>
    <xf numFmtId="164" fontId="1" fillId="0" borderId="30" xfId="0" applyNumberFormat="1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10" fontId="8" fillId="0" borderId="12" xfId="0" applyNumberFormat="1" applyFont="1" applyBorder="1"/>
    <xf numFmtId="165" fontId="1" fillId="0" borderId="9" xfId="0" applyNumberFormat="1" applyFont="1" applyBorder="1" applyAlignment="1">
      <alignment vertical="center"/>
    </xf>
    <xf numFmtId="10" fontId="1" fillId="0" borderId="0" xfId="0" applyNumberFormat="1" applyFont="1"/>
    <xf numFmtId="10" fontId="1" fillId="0" borderId="33" xfId="0" applyNumberFormat="1" applyFont="1" applyBorder="1" applyAlignment="1">
      <alignment vertical="center"/>
    </xf>
    <xf numFmtId="0" fontId="11" fillId="0" borderId="9" xfId="0" applyFont="1" applyBorder="1" applyAlignment="1">
      <alignment horizontal="left" vertical="center"/>
    </xf>
    <xf numFmtId="9" fontId="11" fillId="0" borderId="0" xfId="0" applyNumberFormat="1" applyFont="1" applyAlignment="1">
      <alignment horizontal="right" vertical="center"/>
    </xf>
    <xf numFmtId="166" fontId="8" fillId="0" borderId="12" xfId="0" applyNumberFormat="1" applyFont="1" applyBorder="1"/>
    <xf numFmtId="0" fontId="8" fillId="0" borderId="12" xfId="0" applyFont="1" applyBorder="1"/>
    <xf numFmtId="10" fontId="9" fillId="0" borderId="12" xfId="0" applyNumberFormat="1" applyFont="1" applyBorder="1" applyAlignment="1">
      <alignment horizontal="center" vertical="center"/>
    </xf>
    <xf numFmtId="10" fontId="9" fillId="4" borderId="9" xfId="0" applyNumberFormat="1" applyFont="1" applyFill="1" applyBorder="1" applyAlignment="1">
      <alignment horizontal="center"/>
    </xf>
    <xf numFmtId="10" fontId="9" fillId="0" borderId="12" xfId="0" applyNumberFormat="1" applyFont="1" applyBorder="1"/>
    <xf numFmtId="9" fontId="8" fillId="0" borderId="12" xfId="0" applyNumberFormat="1" applyFont="1" applyBorder="1"/>
    <xf numFmtId="0" fontId="11" fillId="0" borderId="9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right"/>
    </xf>
    <xf numFmtId="0" fontId="8" fillId="0" borderId="36" xfId="0" applyFont="1" applyBorder="1"/>
    <xf numFmtId="0" fontId="9" fillId="4" borderId="9" xfId="0" applyFont="1" applyFill="1" applyBorder="1" applyAlignment="1">
      <alignment horizontal="center"/>
    </xf>
    <xf numFmtId="9" fontId="8" fillId="0" borderId="37" xfId="0" applyNumberFormat="1" applyFont="1" applyBorder="1"/>
    <xf numFmtId="0" fontId="9" fillId="0" borderId="38" xfId="0" applyFont="1" applyBorder="1" applyAlignment="1">
      <alignment horizontal="left" vertical="center"/>
    </xf>
    <xf numFmtId="10" fontId="9" fillId="4" borderId="40" xfId="0" applyNumberFormat="1" applyFont="1" applyFill="1" applyBorder="1" applyAlignment="1">
      <alignment horizontal="center" vertical="center"/>
    </xf>
    <xf numFmtId="164" fontId="10" fillId="0" borderId="29" xfId="0" applyNumberFormat="1" applyFont="1" applyBorder="1" applyAlignment="1">
      <alignment horizontal="left" vertical="center"/>
    </xf>
    <xf numFmtId="0" fontId="11" fillId="6" borderId="38" xfId="0" applyFont="1" applyFill="1" applyBorder="1" applyAlignment="1">
      <alignment horizontal="left" vertical="center"/>
    </xf>
    <xf numFmtId="0" fontId="9" fillId="0" borderId="9" xfId="0" applyFont="1" applyBorder="1" applyAlignment="1">
      <alignment horizontal="center"/>
    </xf>
    <xf numFmtId="0" fontId="12" fillId="6" borderId="41" xfId="0" applyFont="1" applyFill="1" applyBorder="1" applyAlignment="1">
      <alignment horizontal="left" vertical="center"/>
    </xf>
    <xf numFmtId="0" fontId="9" fillId="0" borderId="42" xfId="0" applyFont="1" applyBorder="1" applyAlignment="1">
      <alignment vertical="center"/>
    </xf>
    <xf numFmtId="0" fontId="9" fillId="0" borderId="43" xfId="0" applyFont="1" applyBorder="1" applyAlignment="1">
      <alignment vertical="center"/>
    </xf>
    <xf numFmtId="10" fontId="9" fillId="0" borderId="44" xfId="0" applyNumberFormat="1" applyFont="1" applyBorder="1" applyAlignment="1">
      <alignment vertical="center"/>
    </xf>
    <xf numFmtId="10" fontId="12" fillId="6" borderId="40" xfId="0" applyNumberFormat="1" applyFont="1" applyFill="1" applyBorder="1" applyAlignment="1">
      <alignment horizontal="right" vertical="center"/>
    </xf>
    <xf numFmtId="0" fontId="9" fillId="0" borderId="36" xfId="0" applyFont="1" applyBorder="1" applyAlignment="1">
      <alignment horizontal="left" vertical="center"/>
    </xf>
    <xf numFmtId="0" fontId="9" fillId="0" borderId="45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10" fontId="12" fillId="0" borderId="0" xfId="0" applyNumberFormat="1" applyFont="1" applyAlignment="1">
      <alignment horizontal="right" vertical="center"/>
    </xf>
    <xf numFmtId="0" fontId="9" fillId="0" borderId="46" xfId="0" applyFont="1" applyBorder="1" applyAlignment="1">
      <alignment vertical="center"/>
    </xf>
    <xf numFmtId="0" fontId="13" fillId="7" borderId="47" xfId="0" applyFont="1" applyFill="1" applyBorder="1" applyAlignment="1">
      <alignment horizontal="left" vertical="center"/>
    </xf>
    <xf numFmtId="0" fontId="8" fillId="5" borderId="48" xfId="0" applyFont="1" applyFill="1" applyBorder="1" applyAlignment="1">
      <alignment vertical="center" wrapText="1"/>
    </xf>
    <xf numFmtId="4" fontId="10" fillId="0" borderId="30" xfId="0" applyNumberFormat="1" applyFont="1" applyBorder="1" applyAlignment="1">
      <alignment horizontal="center" vertical="center"/>
    </xf>
    <xf numFmtId="10" fontId="11" fillId="0" borderId="0" xfId="0" applyNumberFormat="1" applyFont="1" applyAlignment="1">
      <alignment horizontal="right" vertical="center"/>
    </xf>
    <xf numFmtId="0" fontId="9" fillId="5" borderId="49" xfId="0" applyFont="1" applyFill="1" applyBorder="1" applyAlignment="1">
      <alignment vertical="center"/>
    </xf>
    <xf numFmtId="0" fontId="11" fillId="7" borderId="47" xfId="0" applyFont="1" applyFill="1" applyBorder="1" applyAlignment="1">
      <alignment horizontal="left" vertical="center"/>
    </xf>
    <xf numFmtId="164" fontId="1" fillId="0" borderId="29" xfId="0" applyNumberFormat="1" applyFont="1" applyBorder="1" applyAlignment="1">
      <alignment horizontal="left" vertical="center"/>
    </xf>
    <xf numFmtId="4" fontId="1" fillId="0" borderId="30" xfId="0" applyNumberFormat="1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10" fontId="8" fillId="5" borderId="50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10" fontId="9" fillId="0" borderId="38" xfId="0" applyNumberFormat="1" applyFont="1" applyBorder="1" applyAlignment="1">
      <alignment horizontal="right"/>
    </xf>
    <xf numFmtId="10" fontId="9" fillId="0" borderId="41" xfId="0" applyNumberFormat="1" applyFont="1" applyBorder="1" applyAlignment="1">
      <alignment horizontal="right"/>
    </xf>
    <xf numFmtId="10" fontId="9" fillId="0" borderId="40" xfId="0" applyNumberFormat="1" applyFont="1" applyBorder="1" applyAlignment="1">
      <alignment horizontal="right"/>
    </xf>
    <xf numFmtId="164" fontId="16" fillId="0" borderId="29" xfId="0" applyNumberFormat="1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7" fillId="0" borderId="0" xfId="0" applyFont="1" applyAlignment="1">
      <alignment vertical="center"/>
    </xf>
    <xf numFmtId="164" fontId="10" fillId="0" borderId="51" xfId="0" applyNumberFormat="1" applyFont="1" applyBorder="1" applyAlignment="1">
      <alignment horizontal="left" vertical="center"/>
    </xf>
    <xf numFmtId="4" fontId="10" fillId="0" borderId="52" xfId="0" applyNumberFormat="1" applyFont="1" applyBorder="1" applyAlignment="1">
      <alignment horizontal="center" vertical="center"/>
    </xf>
    <xf numFmtId="164" fontId="10" fillId="0" borderId="52" xfId="0" applyNumberFormat="1" applyFont="1" applyBorder="1" applyAlignment="1">
      <alignment vertical="center"/>
    </xf>
    <xf numFmtId="165" fontId="10" fillId="0" borderId="41" xfId="0" applyNumberFormat="1" applyFont="1" applyBorder="1" applyAlignment="1">
      <alignment vertical="center"/>
    </xf>
    <xf numFmtId="10" fontId="10" fillId="0" borderId="53" xfId="0" applyNumberFormat="1" applyFont="1" applyBorder="1" applyAlignment="1">
      <alignment vertical="center"/>
    </xf>
    <xf numFmtId="164" fontId="10" fillId="0" borderId="3" xfId="0" applyNumberFormat="1" applyFont="1" applyBorder="1" applyAlignment="1">
      <alignment horizontal="left" vertical="center"/>
    </xf>
    <xf numFmtId="4" fontId="10" fillId="0" borderId="5" xfId="0" applyNumberFormat="1" applyFont="1" applyBorder="1" applyAlignment="1">
      <alignment horizontal="center" vertical="center"/>
    </xf>
    <xf numFmtId="164" fontId="10" fillId="0" borderId="5" xfId="0" applyNumberFormat="1" applyFont="1" applyBorder="1" applyAlignment="1">
      <alignment vertical="center"/>
    </xf>
    <xf numFmtId="167" fontId="10" fillId="0" borderId="54" xfId="0" applyNumberFormat="1" applyFont="1" applyBorder="1" applyAlignment="1">
      <alignment vertical="center"/>
    </xf>
    <xf numFmtId="9" fontId="10" fillId="0" borderId="55" xfId="0" applyNumberFormat="1" applyFont="1" applyBorder="1" applyAlignment="1">
      <alignment vertical="center"/>
    </xf>
    <xf numFmtId="167" fontId="10" fillId="0" borderId="0" xfId="0" applyNumberFormat="1" applyFont="1" applyAlignment="1">
      <alignment vertical="center"/>
    </xf>
    <xf numFmtId="164" fontId="10" fillId="0" borderId="55" xfId="0" applyNumberFormat="1" applyFont="1" applyBorder="1" applyAlignment="1">
      <alignment horizontal="right" vertical="center"/>
    </xf>
    <xf numFmtId="164" fontId="1" fillId="0" borderId="6" xfId="0" applyNumberFormat="1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1" fontId="1" fillId="0" borderId="57" xfId="0" applyNumberFormat="1" applyFont="1" applyBorder="1" applyAlignment="1">
      <alignment horizontal="center" vertical="center"/>
    </xf>
    <xf numFmtId="164" fontId="10" fillId="0" borderId="36" xfId="0" applyNumberFormat="1" applyFont="1" applyBorder="1" applyAlignment="1">
      <alignment vertical="center"/>
    </xf>
    <xf numFmtId="4" fontId="10" fillId="0" borderId="45" xfId="0" applyNumberFormat="1" applyFont="1" applyBorder="1" applyAlignment="1">
      <alignment vertical="center"/>
    </xf>
    <xf numFmtId="0" fontId="1" fillId="0" borderId="45" xfId="0" applyFont="1" applyBorder="1" applyAlignment="1">
      <alignment vertical="center"/>
    </xf>
    <xf numFmtId="1" fontId="10" fillId="0" borderId="37" xfId="0" applyNumberFormat="1" applyFont="1" applyBorder="1" applyAlignment="1">
      <alignment horizontal="center" vertical="center"/>
    </xf>
    <xf numFmtId="164" fontId="10" fillId="0" borderId="21" xfId="0" applyNumberFormat="1" applyFont="1" applyBorder="1" applyAlignment="1">
      <alignment vertical="center"/>
    </xf>
    <xf numFmtId="4" fontId="10" fillId="0" borderId="0" xfId="0" applyNumberFormat="1" applyFont="1" applyAlignment="1">
      <alignment vertical="center"/>
    </xf>
    <xf numFmtId="164" fontId="1" fillId="0" borderId="23" xfId="0" applyNumberFormat="1" applyFont="1" applyBorder="1" applyAlignment="1">
      <alignment vertical="center"/>
    </xf>
    <xf numFmtId="164" fontId="10" fillId="0" borderId="59" xfId="0" applyNumberFormat="1" applyFont="1" applyBorder="1" applyAlignment="1">
      <alignment horizontal="right" vertical="center"/>
    </xf>
    <xf numFmtId="164" fontId="1" fillId="0" borderId="60" xfId="0" applyNumberFormat="1" applyFont="1" applyBorder="1" applyAlignment="1">
      <alignment vertical="center"/>
    </xf>
    <xf numFmtId="164" fontId="1" fillId="0" borderId="61" xfId="0" applyNumberFormat="1" applyFont="1" applyBorder="1" applyAlignment="1">
      <alignment vertical="center"/>
    </xf>
    <xf numFmtId="0" fontId="1" fillId="0" borderId="61" xfId="0" applyFont="1" applyBorder="1" applyAlignment="1">
      <alignment vertical="center"/>
    </xf>
    <xf numFmtId="1" fontId="1" fillId="0" borderId="40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68" fontId="1" fillId="0" borderId="0" xfId="0" applyNumberFormat="1" applyFont="1" applyAlignment="1">
      <alignment horizontal="center" vertical="center"/>
    </xf>
    <xf numFmtId="164" fontId="10" fillId="0" borderId="3" xfId="0" applyNumberFormat="1" applyFont="1" applyBorder="1" applyAlignment="1">
      <alignment vertical="center"/>
    </xf>
    <xf numFmtId="10" fontId="10" fillId="0" borderId="10" xfId="0" applyNumberFormat="1" applyFont="1" applyBorder="1" applyAlignment="1">
      <alignment vertical="center"/>
    </xf>
    <xf numFmtId="168" fontId="10" fillId="0" borderId="0" xfId="0" applyNumberFormat="1" applyFont="1" applyAlignment="1">
      <alignment horizontal="center" vertical="center"/>
    </xf>
    <xf numFmtId="0" fontId="18" fillId="8" borderId="62" xfId="0" applyFont="1" applyFill="1" applyBorder="1" applyAlignment="1">
      <alignment horizontal="center" vertical="center"/>
    </xf>
    <xf numFmtId="0" fontId="18" fillId="8" borderId="63" xfId="0" applyFont="1" applyFill="1" applyBorder="1" applyAlignment="1">
      <alignment horizontal="center" vertical="center"/>
    </xf>
    <xf numFmtId="164" fontId="18" fillId="8" borderId="63" xfId="0" applyNumberFormat="1" applyFont="1" applyFill="1" applyBorder="1" applyAlignment="1">
      <alignment horizontal="center" vertical="center"/>
    </xf>
    <xf numFmtId="164" fontId="18" fillId="8" borderId="55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1" fillId="0" borderId="64" xfId="0" applyFont="1" applyBorder="1" applyAlignment="1">
      <alignment vertical="center"/>
    </xf>
    <xf numFmtId="0" fontId="1" fillId="0" borderId="64" xfId="0" applyFont="1" applyBorder="1" applyAlignment="1">
      <alignment horizontal="center" vertical="center"/>
    </xf>
    <xf numFmtId="164" fontId="1" fillId="4" borderId="65" xfId="0" applyNumberFormat="1" applyFont="1" applyFill="1" applyBorder="1" applyAlignment="1">
      <alignment horizontal="center" vertical="center"/>
    </xf>
    <xf numFmtId="164" fontId="1" fillId="0" borderId="64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2" fontId="1" fillId="4" borderId="9" xfId="0" applyNumberFormat="1" applyFont="1" applyFill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164" fontId="1" fillId="7" borderId="47" xfId="0" applyNumberFormat="1" applyFont="1" applyFill="1" applyBorder="1" applyAlignment="1">
      <alignment vertical="center"/>
    </xf>
    <xf numFmtId="1" fontId="1" fillId="4" borderId="9" xfId="0" applyNumberFormat="1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0" fillId="0" borderId="9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164" fontId="10" fillId="0" borderId="9" xfId="0" applyNumberFormat="1" applyFont="1" applyBorder="1" applyAlignment="1">
      <alignment horizontal="center" vertical="center"/>
    </xf>
    <xf numFmtId="164" fontId="1" fillId="9" borderId="9" xfId="0" applyNumberFormat="1" applyFont="1" applyFill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164" fontId="10" fillId="0" borderId="30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right" vertical="center"/>
    </xf>
    <xf numFmtId="164" fontId="10" fillId="8" borderId="66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168" fontId="1" fillId="0" borderId="9" xfId="0" applyNumberFormat="1" applyFont="1" applyBorder="1" applyAlignment="1">
      <alignment horizontal="center" vertical="center"/>
    </xf>
    <xf numFmtId="164" fontId="1" fillId="4" borderId="47" xfId="0" applyNumberFormat="1" applyFont="1" applyFill="1" applyBorder="1" applyAlignment="1">
      <alignment vertical="center"/>
    </xf>
    <xf numFmtId="0" fontId="1" fillId="4" borderId="47" xfId="0" applyFont="1" applyFill="1" applyBorder="1" applyAlignment="1">
      <alignment vertical="center"/>
    </xf>
    <xf numFmtId="168" fontId="1" fillId="0" borderId="9" xfId="0" applyNumberFormat="1" applyFont="1" applyBorder="1" applyAlignment="1">
      <alignment vertical="center"/>
    </xf>
    <xf numFmtId="164" fontId="1" fillId="0" borderId="67" xfId="0" applyNumberFormat="1" applyFont="1" applyBorder="1" applyAlignment="1">
      <alignment horizontal="center" vertical="center"/>
    </xf>
    <xf numFmtId="164" fontId="1" fillId="0" borderId="52" xfId="0" applyNumberFormat="1" applyFont="1" applyBorder="1" applyAlignment="1">
      <alignment vertical="center"/>
    </xf>
    <xf numFmtId="164" fontId="10" fillId="8" borderId="66" xfId="0" applyNumberFormat="1" applyFont="1" applyFill="1" applyBorder="1" applyAlignment="1">
      <alignment vertical="center"/>
    </xf>
    <xf numFmtId="164" fontId="1" fillId="4" borderId="9" xfId="0" applyNumberFormat="1" applyFont="1" applyFill="1" applyBorder="1" applyAlignment="1">
      <alignment horizontal="center" vertical="center"/>
    </xf>
    <xf numFmtId="164" fontId="1" fillId="0" borderId="35" xfId="0" applyNumberFormat="1" applyFont="1" applyBorder="1" applyAlignment="1">
      <alignment vertical="center"/>
    </xf>
    <xf numFmtId="10" fontId="1" fillId="0" borderId="9" xfId="0" applyNumberFormat="1" applyFont="1" applyBorder="1" applyAlignment="1">
      <alignment vertical="center"/>
    </xf>
    <xf numFmtId="164" fontId="1" fillId="10" borderId="9" xfId="0" applyNumberFormat="1" applyFont="1" applyFill="1" applyBorder="1" applyAlignment="1">
      <alignment horizontal="center" vertical="center"/>
    </xf>
    <xf numFmtId="164" fontId="1" fillId="0" borderId="9" xfId="0" applyNumberFormat="1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164" fontId="10" fillId="0" borderId="10" xfId="0" applyNumberFormat="1" applyFont="1" applyBorder="1" applyAlignment="1">
      <alignment vertical="center"/>
    </xf>
    <xf numFmtId="0" fontId="18" fillId="8" borderId="63" xfId="0" applyFont="1" applyFill="1" applyBorder="1" applyAlignment="1">
      <alignment horizontal="center" vertical="center" wrapText="1"/>
    </xf>
    <xf numFmtId="13" fontId="1" fillId="4" borderId="9" xfId="0" applyNumberFormat="1" applyFont="1" applyFill="1" applyBorder="1"/>
    <xf numFmtId="2" fontId="1" fillId="4" borderId="9" xfId="0" applyNumberFormat="1" applyFont="1" applyFill="1" applyBorder="1" applyAlignment="1">
      <alignment vertical="center"/>
    </xf>
    <xf numFmtId="10" fontId="1" fillId="0" borderId="0" xfId="0" applyNumberFormat="1" applyFont="1" applyAlignment="1">
      <alignment vertical="center"/>
    </xf>
    <xf numFmtId="0" fontId="12" fillId="0" borderId="8" xfId="0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0" fontId="12" fillId="11" borderId="9" xfId="0" applyFont="1" applyFill="1" applyBorder="1" applyAlignment="1">
      <alignment horizontal="center" vertical="center"/>
    </xf>
    <xf numFmtId="2" fontId="1" fillId="4" borderId="0" xfId="0" applyNumberFormat="1" applyFont="1" applyFill="1" applyAlignment="1">
      <alignment vertical="center"/>
    </xf>
    <xf numFmtId="0" fontId="11" fillId="0" borderId="8" xfId="0" applyFont="1" applyBorder="1" applyAlignment="1">
      <alignment horizontal="center" vertical="center"/>
    </xf>
    <xf numFmtId="2" fontId="11" fillId="11" borderId="9" xfId="0" applyNumberFormat="1" applyFont="1" applyFill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164" fontId="1" fillId="0" borderId="5" xfId="0" applyNumberFormat="1" applyFont="1" applyBorder="1" applyAlignment="1">
      <alignment vertical="center"/>
    </xf>
    <xf numFmtId="0" fontId="11" fillId="0" borderId="38" xfId="0" applyFont="1" applyBorder="1" applyAlignment="1">
      <alignment horizontal="center" vertical="center"/>
    </xf>
    <xf numFmtId="2" fontId="11" fillId="11" borderId="41" xfId="0" applyNumberFormat="1" applyFont="1" applyFill="1" applyBorder="1" applyAlignment="1">
      <alignment horizontal="right" vertical="center"/>
    </xf>
    <xf numFmtId="169" fontId="1" fillId="4" borderId="65" xfId="0" applyNumberFormat="1" applyFont="1" applyFill="1" applyBorder="1" applyAlignment="1">
      <alignment horizontal="center" vertical="center"/>
    </xf>
    <xf numFmtId="170" fontId="1" fillId="0" borderId="64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70" fontId="1" fillId="0" borderId="0" xfId="0" applyNumberFormat="1" applyFont="1" applyAlignment="1">
      <alignment vertical="center"/>
    </xf>
    <xf numFmtId="0" fontId="10" fillId="0" borderId="68" xfId="0" applyFont="1" applyBorder="1" applyAlignment="1">
      <alignment vertical="center"/>
    </xf>
    <xf numFmtId="0" fontId="10" fillId="0" borderId="68" xfId="0" applyFont="1" applyBorder="1" applyAlignment="1">
      <alignment horizontal="center" vertical="center"/>
    </xf>
    <xf numFmtId="164" fontId="10" fillId="0" borderId="68" xfId="0" applyNumberFormat="1" applyFont="1" applyBorder="1" applyAlignment="1">
      <alignment horizontal="center" vertical="center"/>
    </xf>
    <xf numFmtId="0" fontId="7" fillId="2" borderId="69" xfId="0" applyFont="1" applyFill="1" applyBorder="1" applyAlignment="1">
      <alignment horizontal="center"/>
    </xf>
    <xf numFmtId="0" fontId="1" fillId="0" borderId="70" xfId="0" applyFont="1" applyBorder="1"/>
    <xf numFmtId="164" fontId="1" fillId="9" borderId="9" xfId="0" applyNumberFormat="1" applyFont="1" applyFill="1" applyBorder="1" applyAlignment="1">
      <alignment vertical="center"/>
    </xf>
    <xf numFmtId="0" fontId="10" fillId="0" borderId="9" xfId="0" applyFont="1" applyBorder="1" applyAlignment="1">
      <alignment horizontal="center" vertical="center"/>
    </xf>
    <xf numFmtId="0" fontId="20" fillId="0" borderId="70" xfId="0" applyFont="1" applyBorder="1" applyAlignment="1">
      <alignment horizontal="left"/>
    </xf>
    <xf numFmtId="0" fontId="10" fillId="0" borderId="35" xfId="0" applyFont="1" applyBorder="1" applyAlignment="1">
      <alignment vertical="center"/>
    </xf>
    <xf numFmtId="0" fontId="20" fillId="0" borderId="71" xfId="0" applyFont="1" applyBorder="1" applyAlignment="1">
      <alignment horizontal="left"/>
    </xf>
    <xf numFmtId="164" fontId="10" fillId="0" borderId="35" xfId="0" applyNumberFormat="1" applyFont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" fillId="4" borderId="9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vertical="center"/>
    </xf>
    <xf numFmtId="4" fontId="1" fillId="4" borderId="9" xfId="0" applyNumberFormat="1" applyFont="1" applyFill="1" applyBorder="1" applyAlignment="1">
      <alignment vertical="center"/>
    </xf>
    <xf numFmtId="0" fontId="1" fillId="7" borderId="47" xfId="0" applyFont="1" applyFill="1" applyBorder="1" applyAlignment="1">
      <alignment vertical="center"/>
    </xf>
    <xf numFmtId="4" fontId="1" fillId="4" borderId="65" xfId="0" applyNumberFormat="1" applyFont="1" applyFill="1" applyBorder="1" applyAlignment="1">
      <alignment horizontal="center" vertical="center"/>
    </xf>
    <xf numFmtId="171" fontId="1" fillId="4" borderId="65" xfId="0" applyNumberFormat="1" applyFont="1" applyFill="1" applyBorder="1" applyAlignment="1">
      <alignment horizontal="center" vertical="center"/>
    </xf>
    <xf numFmtId="171" fontId="1" fillId="0" borderId="64" xfId="0" applyNumberFormat="1" applyFont="1" applyBorder="1" applyAlignment="1">
      <alignment horizontal="center" vertical="center"/>
    </xf>
    <xf numFmtId="171" fontId="1" fillId="4" borderId="65" xfId="0" applyNumberFormat="1" applyFont="1" applyFill="1" applyBorder="1" applyAlignment="1">
      <alignment horizontal="center" vertical="center"/>
    </xf>
    <xf numFmtId="4" fontId="1" fillId="4" borderId="9" xfId="0" applyNumberFormat="1" applyFont="1" applyFill="1" applyBorder="1" applyAlignment="1">
      <alignment horizontal="center" vertical="center"/>
    </xf>
    <xf numFmtId="171" fontId="1" fillId="0" borderId="9" xfId="0" applyNumberFormat="1" applyFont="1" applyBorder="1" applyAlignment="1">
      <alignment horizontal="center" vertical="center"/>
    </xf>
    <xf numFmtId="168" fontId="10" fillId="0" borderId="9" xfId="0" applyNumberFormat="1" applyFont="1" applyBorder="1" applyAlignment="1">
      <alignment horizontal="center" vertical="center"/>
    </xf>
    <xf numFmtId="171" fontId="10" fillId="0" borderId="9" xfId="0" applyNumberFormat="1" applyFont="1" applyBorder="1" applyAlignment="1">
      <alignment horizontal="center" vertical="center"/>
    </xf>
    <xf numFmtId="0" fontId="1" fillId="4" borderId="65" xfId="0" applyFont="1" applyFill="1" applyBorder="1" applyAlignment="1">
      <alignment horizontal="center" vertical="center"/>
    </xf>
    <xf numFmtId="3" fontId="1" fillId="4" borderId="9" xfId="0" applyNumberFormat="1" applyFont="1" applyFill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164" fontId="1" fillId="0" borderId="10" xfId="0" applyNumberFormat="1" applyFont="1" applyBorder="1" applyAlignment="1">
      <alignment vertical="center"/>
    </xf>
    <xf numFmtId="0" fontId="22" fillId="0" borderId="0" xfId="0" applyFont="1" applyAlignment="1">
      <alignment vertical="center"/>
    </xf>
    <xf numFmtId="10" fontId="1" fillId="9" borderId="9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18" fillId="10" borderId="63" xfId="0" applyFont="1" applyFill="1" applyBorder="1" applyAlignment="1">
      <alignment horizontal="center" vertical="center"/>
    </xf>
    <xf numFmtId="164" fontId="18" fillId="10" borderId="55" xfId="0" applyNumberFormat="1" applyFont="1" applyFill="1" applyBorder="1" applyAlignment="1">
      <alignment horizontal="center" vertical="center"/>
    </xf>
    <xf numFmtId="0" fontId="21" fillId="0" borderId="64" xfId="0" applyFont="1" applyBorder="1" applyAlignment="1">
      <alignment horizontal="center" vertical="center"/>
    </xf>
    <xf numFmtId="1" fontId="1" fillId="0" borderId="64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172" fontId="10" fillId="8" borderId="66" xfId="0" applyNumberFormat="1" applyFont="1" applyFill="1" applyBorder="1" applyAlignment="1">
      <alignment horizontal="center" vertical="center"/>
    </xf>
    <xf numFmtId="10" fontId="10" fillId="0" borderId="0" xfId="0" applyNumberFormat="1" applyFont="1" applyAlignment="1">
      <alignment vertical="center"/>
    </xf>
    <xf numFmtId="164" fontId="10" fillId="0" borderId="3" xfId="0" applyNumberFormat="1" applyFont="1" applyBorder="1" applyAlignment="1">
      <alignment horizontal="center" vertical="center"/>
    </xf>
    <xf numFmtId="0" fontId="4" fillId="0" borderId="5" xfId="0" applyFont="1" applyBorder="1"/>
    <xf numFmtId="0" fontId="4" fillId="0" borderId="56" xfId="0" applyFont="1" applyBorder="1"/>
    <xf numFmtId="0" fontId="10" fillId="0" borderId="42" xfId="0" applyFont="1" applyBorder="1" applyAlignment="1">
      <alignment horizontal="center" vertical="center"/>
    </xf>
    <xf numFmtId="0" fontId="4" fillId="0" borderId="43" xfId="0" applyFont="1" applyBorder="1"/>
    <xf numFmtId="0" fontId="4" fillId="0" borderId="58" xfId="0" applyFont="1" applyBorder="1"/>
    <xf numFmtId="0" fontId="18" fillId="10" borderId="3" xfId="0" applyFont="1" applyFill="1" applyBorder="1" applyAlignment="1">
      <alignment horizontal="left" vertical="center"/>
    </xf>
    <xf numFmtId="0" fontId="1" fillId="0" borderId="72" xfId="0" applyFont="1" applyBorder="1" applyAlignment="1">
      <alignment vertical="center"/>
    </xf>
    <xf numFmtId="0" fontId="4" fillId="0" borderId="73" xfId="0" applyFont="1" applyBorder="1"/>
    <xf numFmtId="0" fontId="4" fillId="0" borderId="74" xfId="0" applyFont="1" applyBorder="1"/>
    <xf numFmtId="0" fontId="10" fillId="0" borderId="3" xfId="0" applyFont="1" applyBorder="1" applyAlignment="1">
      <alignment vertical="center"/>
    </xf>
    <xf numFmtId="0" fontId="4" fillId="0" borderId="10" xfId="0" applyFont="1" applyBorder="1"/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ont="1" applyAlignment="1"/>
    <xf numFmtId="0" fontId="7" fillId="3" borderId="13" xfId="0" applyFont="1" applyFill="1" applyBorder="1" applyAlignment="1">
      <alignment horizontal="center" vertical="center"/>
    </xf>
    <xf numFmtId="0" fontId="4" fillId="0" borderId="14" xfId="0" applyFont="1" applyBorder="1"/>
    <xf numFmtId="0" fontId="4" fillId="0" borderId="15" xfId="0" applyFont="1" applyBorder="1"/>
    <xf numFmtId="0" fontId="8" fillId="3" borderId="16" xfId="0" applyFont="1" applyFill="1" applyBorder="1" applyAlignment="1">
      <alignment horizontal="center" vertical="center"/>
    </xf>
    <xf numFmtId="0" fontId="4" fillId="0" borderId="17" xfId="0" applyFont="1" applyBorder="1"/>
    <xf numFmtId="0" fontId="4" fillId="0" borderId="18" xfId="0" applyFont="1" applyBorder="1"/>
    <xf numFmtId="164" fontId="6" fillId="3" borderId="3" xfId="0" applyNumberFormat="1" applyFont="1" applyFill="1" applyBorder="1" applyAlignment="1">
      <alignment horizontal="center" vertical="center"/>
    </xf>
    <xf numFmtId="164" fontId="10" fillId="0" borderId="29" xfId="0" applyNumberFormat="1" applyFont="1" applyBorder="1" applyAlignment="1">
      <alignment horizontal="left" vertical="center"/>
    </xf>
    <xf numFmtId="0" fontId="4" fillId="0" borderId="30" xfId="0" applyFont="1" applyBorder="1"/>
    <xf numFmtId="0" fontId="6" fillId="3" borderId="1" xfId="0" applyFont="1" applyFill="1" applyBorder="1" applyAlignment="1">
      <alignment horizontal="center" vertical="center"/>
    </xf>
    <xf numFmtId="0" fontId="4" fillId="0" borderId="4" xfId="0" applyFont="1" applyBorder="1"/>
    <xf numFmtId="0" fontId="4" fillId="0" borderId="2" xfId="0" applyFont="1" applyBorder="1"/>
    <xf numFmtId="0" fontId="3" fillId="2" borderId="1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9" fontId="8" fillId="0" borderId="1" xfId="0" applyNumberFormat="1" applyFont="1" applyBorder="1" applyAlignment="1">
      <alignment horizontal="center"/>
    </xf>
    <xf numFmtId="0" fontId="9" fillId="0" borderId="35" xfId="0" applyFont="1" applyBorder="1" applyAlignment="1">
      <alignment horizontal="center" vertical="center"/>
    </xf>
    <xf numFmtId="0" fontId="4" fillId="0" borderId="39" xfId="0" applyFont="1" applyBorder="1"/>
    <xf numFmtId="0" fontId="6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comments2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4</xdr:row>
      <xdr:rowOff>28575</xdr:rowOff>
    </xdr:from>
    <xdr:ext cx="1285875" cy="36195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85725</xdr:colOff>
      <xdr:row>7</xdr:row>
      <xdr:rowOff>9525</xdr:rowOff>
    </xdr:from>
    <xdr:ext cx="2038350" cy="371475"/>
    <xdr:pic>
      <xdr:nvPicPr>
        <xdr:cNvPr id="3" name="image2.pn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Z996"/>
  <sheetViews>
    <sheetView showGridLines="0" tabSelected="1" workbookViewId="0">
      <selection sqref="A1:F1"/>
    </sheetView>
  </sheetViews>
  <sheetFormatPr defaultColWidth="12.5703125" defaultRowHeight="15" customHeight="1" x14ac:dyDescent="0.2"/>
  <cols>
    <col min="1" max="1" width="44.5703125" customWidth="1"/>
    <col min="2" max="2" width="16" customWidth="1"/>
    <col min="3" max="3" width="11.85546875" customWidth="1"/>
    <col min="4" max="4" width="14.7109375" customWidth="1"/>
    <col min="5" max="5" width="15.42578125" customWidth="1"/>
    <col min="6" max="7" width="13.28515625" customWidth="1"/>
    <col min="8" max="8" width="12.42578125" customWidth="1"/>
    <col min="9" max="9" width="14.5703125" customWidth="1"/>
    <col min="10" max="10" width="13.42578125" customWidth="1"/>
    <col min="11" max="12" width="9.140625" customWidth="1"/>
    <col min="13" max="13" width="15.28515625" customWidth="1"/>
    <col min="14" max="26" width="9.140625" customWidth="1"/>
  </cols>
  <sheetData>
    <row r="1" spans="1:26" ht="16.5" customHeight="1" x14ac:dyDescent="0.2">
      <c r="A1" s="267" t="s">
        <v>1</v>
      </c>
      <c r="B1" s="256"/>
      <c r="C1" s="256"/>
      <c r="D1" s="256"/>
      <c r="E1" s="256"/>
      <c r="F1" s="266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6.5" customHeight="1" x14ac:dyDescent="0.2">
      <c r="A2" s="268" t="s">
        <v>12</v>
      </c>
      <c r="B2" s="269"/>
      <c r="C2" s="269"/>
      <c r="D2" s="269"/>
      <c r="E2" s="269"/>
      <c r="F2" s="269"/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27.75" customHeight="1" x14ac:dyDescent="0.2">
      <c r="A3" s="270" t="s">
        <v>16</v>
      </c>
      <c r="B3" s="271"/>
      <c r="C3" s="271"/>
      <c r="D3" s="271"/>
      <c r="E3" s="271"/>
      <c r="F3" s="272"/>
      <c r="G3" s="9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21.75" customHeight="1" x14ac:dyDescent="0.2">
      <c r="A4" s="273" t="s">
        <v>26</v>
      </c>
      <c r="B4" s="274"/>
      <c r="C4" s="274"/>
      <c r="D4" s="274"/>
      <c r="E4" s="274"/>
      <c r="F4" s="275"/>
      <c r="G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0.5" customHeight="1" x14ac:dyDescent="0.2">
      <c r="A5" s="23"/>
      <c r="B5" s="3"/>
      <c r="C5" s="3"/>
      <c r="D5" s="4"/>
      <c r="E5" s="4"/>
      <c r="F5" s="2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" customHeight="1" x14ac:dyDescent="0.2">
      <c r="A6" s="276" t="s">
        <v>40</v>
      </c>
      <c r="B6" s="256"/>
      <c r="C6" s="256"/>
      <c r="D6" s="256"/>
      <c r="E6" s="256"/>
      <c r="F6" s="266"/>
      <c r="G6" s="4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" customHeight="1" x14ac:dyDescent="0.2">
      <c r="A7" s="32" t="s">
        <v>42</v>
      </c>
      <c r="B7" s="35"/>
      <c r="C7" s="35"/>
      <c r="D7" s="36"/>
      <c r="E7" s="37" t="s">
        <v>46</v>
      </c>
      <c r="F7" s="39" t="s">
        <v>47</v>
      </c>
      <c r="G7" s="4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" customHeight="1" x14ac:dyDescent="0.2">
      <c r="A8" s="49" t="str">
        <f>A38</f>
        <v>1. Mão-de-obra</v>
      </c>
      <c r="B8" s="50"/>
      <c r="C8" s="50"/>
      <c r="D8" s="50"/>
      <c r="E8" s="55">
        <f>+F73</f>
        <v>6953.5126460005813</v>
      </c>
      <c r="F8" s="62">
        <f t="shared" ref="F8:F23" si="0">IFERROR(E8/$E$24,0)</f>
        <v>0.19561921750147718</v>
      </c>
      <c r="G8" s="64"/>
      <c r="H8" s="65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5" customHeight="1" x14ac:dyDescent="0.2">
      <c r="A9" s="71" t="str">
        <f>A40</f>
        <v>1.1. Motorista</v>
      </c>
      <c r="B9" s="72"/>
      <c r="C9" s="72"/>
      <c r="D9" s="72"/>
      <c r="E9" s="75">
        <f>F53</f>
        <v>6138.0926460005812</v>
      </c>
      <c r="F9" s="77">
        <f t="shared" si="0"/>
        <v>0.17267947028942598</v>
      </c>
      <c r="G9" s="4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" customHeight="1" x14ac:dyDescent="0.2">
      <c r="A10" s="71" t="str">
        <f>A55</f>
        <v>1.2. Vale Transporte</v>
      </c>
      <c r="B10" s="72"/>
      <c r="C10" s="72"/>
      <c r="D10" s="72"/>
      <c r="E10" s="75">
        <f>F60</f>
        <v>176.61999999999995</v>
      </c>
      <c r="F10" s="77">
        <f t="shared" si="0"/>
        <v>4.9687500338383653E-3</v>
      </c>
      <c r="G10" s="4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" customHeight="1" x14ac:dyDescent="0.2">
      <c r="A11" s="71" t="str">
        <f>A62</f>
        <v>1.3. Vale-refeição (diário)</v>
      </c>
      <c r="B11" s="72"/>
      <c r="C11" s="72"/>
      <c r="D11" s="72"/>
      <c r="E11" s="75">
        <f>F66</f>
        <v>488.8</v>
      </c>
      <c r="F11" s="77">
        <f t="shared" si="0"/>
        <v>1.3751132468237989E-2</v>
      </c>
      <c r="G11" s="4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" customHeight="1" x14ac:dyDescent="0.2">
      <c r="A12" s="71" t="str">
        <f>A68</f>
        <v>1.4. Auxílio Alimentação (mensal)</v>
      </c>
      <c r="B12" s="72"/>
      <c r="C12" s="72"/>
      <c r="D12" s="72"/>
      <c r="E12" s="75">
        <f>F71</f>
        <v>150</v>
      </c>
      <c r="F12" s="77">
        <f t="shared" si="0"/>
        <v>4.2198647099748327E-3</v>
      </c>
      <c r="G12" s="4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" customHeight="1" x14ac:dyDescent="0.2">
      <c r="A13" s="277" t="str">
        <f>A75</f>
        <v>2. Uniformes e Equipamentos de Proteção Individual</v>
      </c>
      <c r="B13" s="278"/>
      <c r="C13" s="278"/>
      <c r="D13" s="50"/>
      <c r="E13" s="55">
        <f>+F91</f>
        <v>151.035</v>
      </c>
      <c r="F13" s="62">
        <f t="shared" si="0"/>
        <v>4.2489817764736594E-3</v>
      </c>
      <c r="G13" s="64"/>
      <c r="H13" s="65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5" customHeight="1" x14ac:dyDescent="0.2">
      <c r="A14" s="93" t="str">
        <f>A93</f>
        <v>3. Veículos e Equipamentos</v>
      </c>
      <c r="B14" s="108"/>
      <c r="C14" s="50"/>
      <c r="D14" s="50"/>
      <c r="E14" s="55">
        <f>+F171</f>
        <v>19503.33034142141</v>
      </c>
      <c r="F14" s="62">
        <f t="shared" si="0"/>
        <v>0.54867610289830415</v>
      </c>
      <c r="G14" s="64"/>
      <c r="H14" s="65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5" customHeight="1" x14ac:dyDescent="0.2">
      <c r="A15" s="112" t="str">
        <f>A95</f>
        <v>3.1. Veículo com Guindaste Roll On Roll Off e contêineres 32 m³</v>
      </c>
      <c r="B15" s="113"/>
      <c r="C15" s="72"/>
      <c r="D15" s="72"/>
      <c r="E15" s="75">
        <f>SUM(E16:E21)</f>
        <v>19503.33034142141</v>
      </c>
      <c r="F15" s="77">
        <f t="shared" si="0"/>
        <v>0.54867610289830415</v>
      </c>
      <c r="G15" s="4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" customHeight="1" x14ac:dyDescent="0.2">
      <c r="A16" s="121" t="s">
        <v>122</v>
      </c>
      <c r="B16" s="113"/>
      <c r="C16" s="72"/>
      <c r="D16" s="72"/>
      <c r="E16" s="75">
        <f>F111</f>
        <v>4934.1126652583334</v>
      </c>
      <c r="F16" s="77">
        <f t="shared" si="0"/>
        <v>0.13880858607442337</v>
      </c>
      <c r="G16" s="4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" customHeight="1" x14ac:dyDescent="0.2">
      <c r="A17" s="121" t="s">
        <v>123</v>
      </c>
      <c r="B17" s="113"/>
      <c r="C17" s="72"/>
      <c r="D17" s="72"/>
      <c r="E17" s="75">
        <f>F127</f>
        <v>7355.7396581630737</v>
      </c>
      <c r="F17" s="77">
        <f t="shared" si="0"/>
        <v>0.20693484132829798</v>
      </c>
      <c r="G17" s="4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" customHeight="1" x14ac:dyDescent="0.2">
      <c r="A18" s="112" t="str">
        <f>A129</f>
        <v>3.1.3. Impostos e Seguros</v>
      </c>
      <c r="B18" s="113"/>
      <c r="C18" s="72"/>
      <c r="D18" s="72"/>
      <c r="E18" s="75">
        <f>F135</f>
        <v>797.20938000000012</v>
      </c>
      <c r="F18" s="77">
        <f t="shared" si="0"/>
        <v>2.2427438194152778E-2</v>
      </c>
      <c r="G18" s="4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" customHeight="1" x14ac:dyDescent="0.2">
      <c r="A19" s="112" t="str">
        <f>A137</f>
        <v>3.1.4. Consumos</v>
      </c>
      <c r="B19" s="113"/>
      <c r="C19" s="72"/>
      <c r="D19" s="72"/>
      <c r="E19" s="75">
        <f>F155</f>
        <v>4256.5114780000004</v>
      </c>
      <c r="F19" s="77">
        <f t="shared" si="0"/>
        <v>0.11974601715743347</v>
      </c>
      <c r="G19" s="4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" customHeight="1" x14ac:dyDescent="0.2">
      <c r="A20" s="112" t="str">
        <f>A157</f>
        <v>3.1.5. Manutenção</v>
      </c>
      <c r="B20" s="113"/>
      <c r="C20" s="72"/>
      <c r="D20" s="72"/>
      <c r="E20" s="75">
        <f>F160</f>
        <v>1701.4</v>
      </c>
      <c r="F20" s="77">
        <f t="shared" si="0"/>
        <v>4.7864518783674544E-2</v>
      </c>
      <c r="G20" s="4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" customHeight="1" x14ac:dyDescent="0.2">
      <c r="A21" s="112" t="str">
        <f>A162</f>
        <v>3.1.6. Pneus</v>
      </c>
      <c r="B21" s="113"/>
      <c r="C21" s="72"/>
      <c r="D21" s="72"/>
      <c r="E21" s="75">
        <f>F169</f>
        <v>458.35715999999996</v>
      </c>
      <c r="F21" s="77">
        <f t="shared" si="0"/>
        <v>1.289470136032192E-2</v>
      </c>
      <c r="G21" s="4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" customHeight="1" x14ac:dyDescent="0.2">
      <c r="A22" s="93" t="str">
        <f>A174</f>
        <v>4. Monitoramento da Frota</v>
      </c>
      <c r="B22" s="108"/>
      <c r="C22" s="50"/>
      <c r="D22" s="50"/>
      <c r="E22" s="55">
        <f>+F183</f>
        <v>60.411666666666669</v>
      </c>
      <c r="F22" s="62">
        <f t="shared" si="0"/>
        <v>1.6995270682495307E-3</v>
      </c>
      <c r="G22" s="64"/>
      <c r="H22" s="65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5" customHeight="1" x14ac:dyDescent="0.2">
      <c r="A23" s="124" t="str">
        <f>A190</f>
        <v>5. Benefícios e Despesas Indiretas - BDI</v>
      </c>
      <c r="B23" s="125"/>
      <c r="C23" s="126"/>
      <c r="D23" s="126"/>
      <c r="E23" s="127">
        <f>+F194</f>
        <v>8877.873625846114</v>
      </c>
      <c r="F23" s="128">
        <f t="shared" si="0"/>
        <v>0.24975617075549553</v>
      </c>
      <c r="G23" s="64"/>
      <c r="H23" s="65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5" customHeight="1" x14ac:dyDescent="0.2">
      <c r="A24" s="129" t="s">
        <v>124</v>
      </c>
      <c r="B24" s="130"/>
      <c r="C24" s="131"/>
      <c r="D24" s="131"/>
      <c r="E24" s="132">
        <f t="shared" ref="E24:F24" si="1">E8+E13+E14+E22+E23</f>
        <v>35546.163279934772</v>
      </c>
      <c r="F24" s="133">
        <f t="shared" si="1"/>
        <v>1</v>
      </c>
      <c r="G24" s="134"/>
      <c r="H24" s="6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" customHeight="1" x14ac:dyDescent="0.2">
      <c r="A25" s="5"/>
      <c r="B25" s="5"/>
      <c r="C25" s="5"/>
      <c r="D25" s="4"/>
      <c r="E25" s="4"/>
      <c r="F25" s="4"/>
      <c r="G25" s="4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" customHeight="1" x14ac:dyDescent="0.2">
      <c r="A26" s="5"/>
      <c r="B26" s="5"/>
      <c r="C26" s="5"/>
      <c r="D26" s="4"/>
      <c r="E26" s="4"/>
      <c r="F26" s="4"/>
      <c r="G26" s="4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" customHeight="1" x14ac:dyDescent="0.2">
      <c r="A27" s="276" t="s">
        <v>125</v>
      </c>
      <c r="B27" s="256"/>
      <c r="C27" s="256"/>
      <c r="D27" s="256"/>
      <c r="E27" s="266"/>
      <c r="F27" s="4"/>
      <c r="G27" s="4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" customHeight="1" x14ac:dyDescent="0.2">
      <c r="A28" s="255" t="s">
        <v>126</v>
      </c>
      <c r="B28" s="256"/>
      <c r="C28" s="256"/>
      <c r="D28" s="257"/>
      <c r="E28" s="135" t="s">
        <v>127</v>
      </c>
      <c r="F28" s="4"/>
      <c r="G28" s="4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" customHeight="1" x14ac:dyDescent="0.2">
      <c r="A29" s="136" t="str">
        <f>+A40</f>
        <v>1.1. Motorista</v>
      </c>
      <c r="B29" s="72"/>
      <c r="C29" s="72"/>
      <c r="D29" s="137"/>
      <c r="E29" s="138">
        <f>C52</f>
        <v>1</v>
      </c>
      <c r="F29" s="4"/>
      <c r="G29" s="4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" customHeight="1" x14ac:dyDescent="0.2">
      <c r="A30" s="139" t="s">
        <v>128</v>
      </c>
      <c r="B30" s="140"/>
      <c r="C30" s="140"/>
      <c r="D30" s="141"/>
      <c r="E30" s="142">
        <f>SUM(E29)</f>
        <v>1</v>
      </c>
      <c r="F30" s="4"/>
      <c r="G30" s="4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" customHeight="1" x14ac:dyDescent="0.2">
      <c r="A31" s="143"/>
      <c r="B31" s="144"/>
      <c r="C31" s="4"/>
      <c r="D31" s="4"/>
      <c r="E31" s="145"/>
      <c r="F31" s="4"/>
      <c r="G31" s="4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" customHeight="1" x14ac:dyDescent="0.2">
      <c r="A32" s="258" t="s">
        <v>129</v>
      </c>
      <c r="B32" s="259"/>
      <c r="C32" s="259"/>
      <c r="D32" s="260"/>
      <c r="E32" s="146" t="s">
        <v>127</v>
      </c>
      <c r="F32" s="5"/>
      <c r="G32" s="4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" customHeight="1" x14ac:dyDescent="0.2">
      <c r="A33" s="147" t="str">
        <f>+A95</f>
        <v>3.1. Veículo com Guindaste Roll On Roll Off e contêineres 32 m³</v>
      </c>
      <c r="B33" s="148"/>
      <c r="C33" s="148"/>
      <c r="D33" s="149"/>
      <c r="E33" s="150">
        <f>C110</f>
        <v>1.1000000000000001</v>
      </c>
      <c r="F33" s="5"/>
      <c r="G33" s="4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" customHeight="1" x14ac:dyDescent="0.2">
      <c r="A34" s="4"/>
      <c r="B34" s="4"/>
      <c r="C34" s="4"/>
      <c r="D34" s="5"/>
      <c r="E34" s="151"/>
      <c r="F34" s="5"/>
      <c r="G34" s="4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" customHeight="1" x14ac:dyDescent="0.2">
      <c r="A35" s="4"/>
      <c r="B35" s="4"/>
      <c r="C35" s="4"/>
      <c r="D35" s="5"/>
      <c r="E35" s="152"/>
      <c r="F35" s="5"/>
      <c r="G35" s="4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" customHeight="1" x14ac:dyDescent="0.2">
      <c r="A36" s="153" t="s">
        <v>130</v>
      </c>
      <c r="B36" s="154">
        <v>1</v>
      </c>
      <c r="C36" s="65"/>
      <c r="D36" s="9"/>
      <c r="E36" s="155"/>
      <c r="F36" s="9"/>
      <c r="G36" s="65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5" customHeight="1" x14ac:dyDescent="0.2">
      <c r="A37" s="4"/>
      <c r="B37" s="4"/>
      <c r="C37" s="4"/>
      <c r="D37" s="5"/>
      <c r="E37" s="152"/>
      <c r="F37" s="5"/>
      <c r="G37" s="4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" customHeight="1" x14ac:dyDescent="0.2">
      <c r="A38" s="9" t="s">
        <v>131</v>
      </c>
      <c r="B38" s="5"/>
      <c r="C38" s="5"/>
      <c r="D38" s="4"/>
      <c r="E38" s="4"/>
      <c r="F38" s="4"/>
      <c r="G38" s="4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" customHeight="1" x14ac:dyDescent="0.2">
      <c r="A39" s="5"/>
      <c r="B39" s="5"/>
      <c r="C39" s="5"/>
      <c r="D39" s="4"/>
      <c r="E39" s="4"/>
      <c r="F39" s="4"/>
      <c r="G39" s="4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" customHeight="1" x14ac:dyDescent="0.2">
      <c r="A40" s="5" t="s">
        <v>132</v>
      </c>
      <c r="B40" s="5"/>
      <c r="C40" s="5"/>
      <c r="D40" s="4"/>
      <c r="E40" s="4"/>
      <c r="F40" s="4"/>
      <c r="G40" s="4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" customHeight="1" x14ac:dyDescent="0.2">
      <c r="A41" s="156" t="s">
        <v>133</v>
      </c>
      <c r="B41" s="157" t="s">
        <v>134</v>
      </c>
      <c r="C41" s="157" t="s">
        <v>127</v>
      </c>
      <c r="D41" s="158" t="s">
        <v>135</v>
      </c>
      <c r="E41" s="158" t="s">
        <v>136</v>
      </c>
      <c r="F41" s="159" t="s">
        <v>137</v>
      </c>
      <c r="G41" s="4"/>
      <c r="H41" s="160"/>
      <c r="I41" s="160"/>
      <c r="J41" s="160"/>
      <c r="K41" s="160"/>
      <c r="L41" s="160"/>
      <c r="M41" s="160"/>
      <c r="N41" s="160"/>
      <c r="O41" s="160"/>
      <c r="P41" s="160"/>
      <c r="Q41" s="160"/>
      <c r="R41" s="160"/>
      <c r="S41" s="160"/>
      <c r="T41" s="160"/>
      <c r="U41" s="160"/>
      <c r="V41" s="160"/>
      <c r="W41" s="160"/>
      <c r="X41" s="160"/>
      <c r="Y41" s="160"/>
      <c r="Z41" s="160"/>
    </row>
    <row r="42" spans="1:26" ht="15" customHeight="1" x14ac:dyDescent="0.2">
      <c r="A42" s="161" t="s">
        <v>138</v>
      </c>
      <c r="B42" s="162" t="s">
        <v>139</v>
      </c>
      <c r="C42" s="162">
        <v>1</v>
      </c>
      <c r="D42" s="163">
        <v>2707</v>
      </c>
      <c r="E42" s="164">
        <f>C42*D42</f>
        <v>2707</v>
      </c>
      <c r="F42" s="4"/>
      <c r="I42" s="4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" customHeight="1" x14ac:dyDescent="0.2">
      <c r="A43" s="161" t="s">
        <v>140</v>
      </c>
      <c r="B43" s="162" t="s">
        <v>139</v>
      </c>
      <c r="C43" s="162">
        <v>1</v>
      </c>
      <c r="D43" s="163">
        <v>1621</v>
      </c>
      <c r="E43" s="164"/>
      <c r="F43" s="4"/>
      <c r="G43" s="4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" customHeight="1" x14ac:dyDescent="0.2">
      <c r="A44" s="165" t="s">
        <v>141</v>
      </c>
      <c r="B44" s="166" t="s">
        <v>142</v>
      </c>
      <c r="C44" s="167">
        <v>7.33</v>
      </c>
      <c r="D44" s="168">
        <f>D42/220*2</f>
        <v>24.609090909090909</v>
      </c>
      <c r="E44" s="168">
        <f t="shared" ref="E44:E45" si="2">C44*D44</f>
        <v>180.38463636363636</v>
      </c>
      <c r="F44" s="169"/>
      <c r="G44" s="4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" customHeight="1" x14ac:dyDescent="0.2">
      <c r="A45" s="165" t="s">
        <v>143</v>
      </c>
      <c r="B45" s="166" t="s">
        <v>142</v>
      </c>
      <c r="C45" s="167">
        <v>0</v>
      </c>
      <c r="D45" s="168">
        <f>D42/220*1.5</f>
        <v>18.456818181818182</v>
      </c>
      <c r="E45" s="168">
        <f t="shared" si="2"/>
        <v>0</v>
      </c>
      <c r="F45" s="169"/>
      <c r="G45" s="4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" customHeight="1" x14ac:dyDescent="0.2">
      <c r="A46" s="165" t="s">
        <v>144</v>
      </c>
      <c r="B46" s="166" t="s">
        <v>145</v>
      </c>
      <c r="C46" s="5"/>
      <c r="D46" s="168">
        <f>63/302*(SUM(E44:E45))</f>
        <v>37.629907585791692</v>
      </c>
      <c r="E46" s="168">
        <f>D46</f>
        <v>37.629907585791692</v>
      </c>
      <c r="F46" s="169"/>
      <c r="G46" s="4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" customHeight="1" x14ac:dyDescent="0.2">
      <c r="A47" s="165" t="s">
        <v>146</v>
      </c>
      <c r="B47" s="166"/>
      <c r="C47" s="170">
        <v>1</v>
      </c>
      <c r="D47" s="168"/>
      <c r="E47" s="168"/>
      <c r="F47" s="4"/>
      <c r="G47" s="4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" customHeight="1" x14ac:dyDescent="0.2">
      <c r="A48" s="165" t="s">
        <v>147</v>
      </c>
      <c r="B48" s="166" t="s">
        <v>47</v>
      </c>
      <c r="C48" s="171">
        <v>40</v>
      </c>
      <c r="D48" s="168">
        <f>IF(C47=2,SUM(E42:E46),IF(C47=1,(SUM(E42:E46))*D43/D42,0))</f>
        <v>1751.5510069235402</v>
      </c>
      <c r="E48" s="168">
        <f>C48*D48/100</f>
        <v>700.62040276941616</v>
      </c>
      <c r="F48" s="4"/>
      <c r="G48" s="4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" customHeight="1" x14ac:dyDescent="0.2">
      <c r="A49" s="172" t="s">
        <v>148</v>
      </c>
      <c r="B49" s="173"/>
      <c r="C49" s="173"/>
      <c r="D49" s="174"/>
      <c r="E49" s="175">
        <f>SUM(E42:E48)</f>
        <v>3625.6349467188443</v>
      </c>
      <c r="F49" s="65"/>
      <c r="G49" s="65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5" customHeight="1" x14ac:dyDescent="0.2">
      <c r="A50" s="165" t="s">
        <v>149</v>
      </c>
      <c r="B50" s="166" t="s">
        <v>47</v>
      </c>
      <c r="C50" s="176">
        <f>'2.Encargos Sociais'!$C$37*100</f>
        <v>69.29704000000001</v>
      </c>
      <c r="D50" s="168">
        <f>E49</f>
        <v>3625.6349467188443</v>
      </c>
      <c r="E50" s="168">
        <f>D50*C50/100</f>
        <v>2512.4576992817365</v>
      </c>
      <c r="F50" s="4"/>
      <c r="G50" s="4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" customHeight="1" x14ac:dyDescent="0.2">
      <c r="A51" s="172" t="s">
        <v>150</v>
      </c>
      <c r="B51" s="177"/>
      <c r="C51" s="177"/>
      <c r="D51" s="178"/>
      <c r="E51" s="175">
        <f>E49+E50</f>
        <v>6138.0926460005812</v>
      </c>
      <c r="F51" s="65"/>
      <c r="G51" s="65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5" customHeight="1" x14ac:dyDescent="0.2">
      <c r="A52" s="165" t="s">
        <v>151</v>
      </c>
      <c r="B52" s="166" t="s">
        <v>152</v>
      </c>
      <c r="C52" s="171">
        <v>1</v>
      </c>
      <c r="D52" s="168">
        <f>E51</f>
        <v>6138.0926460005812</v>
      </c>
      <c r="E52" s="168">
        <f>C52*D52</f>
        <v>6138.0926460005812</v>
      </c>
      <c r="F52" s="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" customHeight="1" x14ac:dyDescent="0.2">
      <c r="A53" s="5"/>
      <c r="B53" s="5"/>
      <c r="C53" s="5"/>
      <c r="D53" s="179" t="s">
        <v>153</v>
      </c>
      <c r="E53" s="71">
        <f>$B$36</f>
        <v>1</v>
      </c>
      <c r="F53" s="180">
        <f>E52*E53</f>
        <v>6138.0926460005812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" customHeight="1" x14ac:dyDescent="0.2">
      <c r="A54" s="5"/>
      <c r="B54" s="5"/>
      <c r="C54" s="5"/>
      <c r="D54" s="4"/>
      <c r="E54" s="4"/>
      <c r="F54" s="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" customHeight="1" x14ac:dyDescent="0.2">
      <c r="A55" s="5" t="s">
        <v>154</v>
      </c>
      <c r="B55" s="181"/>
      <c r="C55" s="5"/>
      <c r="D55" s="5"/>
      <c r="E55" s="5"/>
      <c r="F55" s="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" customHeight="1" x14ac:dyDescent="0.2">
      <c r="A56" s="156" t="s">
        <v>133</v>
      </c>
      <c r="B56" s="157" t="s">
        <v>134</v>
      </c>
      <c r="C56" s="157" t="s">
        <v>127</v>
      </c>
      <c r="D56" s="158" t="s">
        <v>135</v>
      </c>
      <c r="E56" s="158" t="s">
        <v>136</v>
      </c>
      <c r="F56" s="159" t="s">
        <v>155</v>
      </c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" customHeight="1" x14ac:dyDescent="0.2">
      <c r="A57" s="165" t="s">
        <v>156</v>
      </c>
      <c r="B57" s="166" t="s">
        <v>145</v>
      </c>
      <c r="C57" s="182">
        <v>1</v>
      </c>
      <c r="D57" s="183">
        <v>6.52</v>
      </c>
      <c r="E57" s="168"/>
      <c r="F57" s="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" customHeight="1" x14ac:dyDescent="0.2">
      <c r="A58" s="165" t="s">
        <v>157</v>
      </c>
      <c r="B58" s="166" t="s">
        <v>158</v>
      </c>
      <c r="C58" s="184">
        <v>26</v>
      </c>
      <c r="D58" s="168"/>
      <c r="E58" s="168"/>
      <c r="F58" s="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" customHeight="1" x14ac:dyDescent="0.2">
      <c r="A59" s="161" t="s">
        <v>159</v>
      </c>
      <c r="B59" s="162" t="s">
        <v>160</v>
      </c>
      <c r="C59" s="185">
        <f>$C$58*2*(C52)</f>
        <v>52</v>
      </c>
      <c r="D59" s="164">
        <f>IFERROR((($C$58*2*$D$57)-(E42*0.06*C58/26))/($C$58*2),"-")</f>
        <v>3.3965384615384604</v>
      </c>
      <c r="E59" s="186">
        <f>IFERROR(C59*D59,"-")</f>
        <v>176.61999999999995</v>
      </c>
      <c r="F59" s="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" customHeight="1" x14ac:dyDescent="0.2">
      <c r="A60" s="5"/>
      <c r="B60" s="5"/>
      <c r="C60" s="5"/>
      <c r="D60" s="179"/>
      <c r="E60" s="187"/>
      <c r="F60" s="188">
        <f>E59</f>
        <v>176.61999999999995</v>
      </c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" customHeight="1" x14ac:dyDescent="0.2">
      <c r="A61" s="5"/>
      <c r="B61" s="5"/>
      <c r="C61" s="5"/>
      <c r="D61" s="4"/>
      <c r="E61" s="4"/>
      <c r="F61" s="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" customHeight="1" x14ac:dyDescent="0.2">
      <c r="A62" s="5" t="s">
        <v>161</v>
      </c>
      <c r="B62" s="5"/>
      <c r="C62" s="5"/>
      <c r="D62" s="4"/>
      <c r="E62" s="4"/>
      <c r="F62" s="6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" customHeight="1" x14ac:dyDescent="0.2">
      <c r="A63" s="156" t="s">
        <v>133</v>
      </c>
      <c r="B63" s="157" t="s">
        <v>134</v>
      </c>
      <c r="C63" s="157" t="s">
        <v>127</v>
      </c>
      <c r="D63" s="158" t="s">
        <v>135</v>
      </c>
      <c r="E63" s="158" t="s">
        <v>136</v>
      </c>
      <c r="F63" s="159" t="s">
        <v>162</v>
      </c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" customHeight="1" x14ac:dyDescent="0.2">
      <c r="A64" s="165" t="str">
        <f>+A59</f>
        <v>Motorista</v>
      </c>
      <c r="B64" s="166" t="s">
        <v>163</v>
      </c>
      <c r="C64" s="185">
        <v>26</v>
      </c>
      <c r="D64" s="189">
        <v>23.5</v>
      </c>
      <c r="E64" s="190">
        <f>C64*D64</f>
        <v>611</v>
      </c>
      <c r="F64" s="6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" customHeight="1" x14ac:dyDescent="0.2">
      <c r="A65" s="165" t="s">
        <v>164</v>
      </c>
      <c r="B65" s="166" t="s">
        <v>165</v>
      </c>
      <c r="C65" s="191">
        <v>0.2</v>
      </c>
      <c r="D65" s="192">
        <f>E64*C65</f>
        <v>122.2</v>
      </c>
      <c r="E65" s="193">
        <f>E64-D65</f>
        <v>488.8</v>
      </c>
      <c r="F65" s="6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" customHeight="1" x14ac:dyDescent="0.2">
      <c r="A66" s="5"/>
      <c r="B66" s="5"/>
      <c r="C66" s="5"/>
      <c r="D66" s="179"/>
      <c r="E66" s="187"/>
      <c r="F66" s="188">
        <f>E65</f>
        <v>488.8</v>
      </c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" customHeight="1" x14ac:dyDescent="0.2">
      <c r="A67" s="5"/>
      <c r="B67" s="5"/>
      <c r="C67" s="5"/>
      <c r="D67" s="4"/>
      <c r="E67" s="4"/>
      <c r="F67" s="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" customHeight="1" x14ac:dyDescent="0.2">
      <c r="A68" s="5" t="s">
        <v>166</v>
      </c>
      <c r="B68" s="5"/>
      <c r="C68" s="5"/>
      <c r="D68" s="4"/>
      <c r="E68" s="4"/>
      <c r="F68" s="6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" customHeight="1" x14ac:dyDescent="0.2">
      <c r="A69" s="156" t="s">
        <v>133</v>
      </c>
      <c r="B69" s="157" t="s">
        <v>134</v>
      </c>
      <c r="C69" s="157" t="s">
        <v>127</v>
      </c>
      <c r="D69" s="158" t="s">
        <v>135</v>
      </c>
      <c r="E69" s="158" t="s">
        <v>136</v>
      </c>
      <c r="F69" s="159" t="s">
        <v>167</v>
      </c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" customHeight="1" x14ac:dyDescent="0.2">
      <c r="A70" s="165" t="str">
        <f>+A64</f>
        <v>Motorista</v>
      </c>
      <c r="B70" s="166" t="s">
        <v>163</v>
      </c>
      <c r="C70" s="185">
        <f>E29</f>
        <v>1</v>
      </c>
      <c r="D70" s="189">
        <v>150</v>
      </c>
      <c r="E70" s="193">
        <f>C70*D70</f>
        <v>150</v>
      </c>
      <c r="F70" s="6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" customHeight="1" x14ac:dyDescent="0.2">
      <c r="A71" s="5"/>
      <c r="B71" s="5"/>
      <c r="C71" s="5"/>
      <c r="D71" s="179" t="s">
        <v>153</v>
      </c>
      <c r="E71" s="71">
        <f>$B$36</f>
        <v>1</v>
      </c>
      <c r="F71" s="188">
        <f>SUM(E70)*E71</f>
        <v>150</v>
      </c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" customHeight="1" x14ac:dyDescent="0.2">
      <c r="A72" s="5"/>
      <c r="B72" s="5"/>
      <c r="C72" s="5"/>
      <c r="D72" s="4"/>
      <c r="E72" s="4"/>
      <c r="F72" s="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" customHeight="1" x14ac:dyDescent="0.2">
      <c r="A73" s="194" t="s">
        <v>168</v>
      </c>
      <c r="B73" s="195"/>
      <c r="C73" s="195"/>
      <c r="D73" s="131"/>
      <c r="E73" s="196"/>
      <c r="F73" s="188">
        <f>F71+F66+F60+F53</f>
        <v>6953.5126460005813</v>
      </c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" customHeight="1" x14ac:dyDescent="0.2">
      <c r="A74" s="5"/>
      <c r="B74" s="5"/>
      <c r="C74" s="5"/>
      <c r="D74" s="4"/>
      <c r="E74" s="4"/>
      <c r="F74" s="4"/>
      <c r="G74" s="4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" customHeight="1" x14ac:dyDescent="0.2">
      <c r="A75" s="9" t="s">
        <v>169</v>
      </c>
      <c r="B75" s="5"/>
      <c r="C75" s="5"/>
      <c r="D75" s="4"/>
      <c r="E75" s="4"/>
      <c r="F75" s="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" customHeight="1" x14ac:dyDescent="0.2">
      <c r="A76" s="5"/>
      <c r="B76" s="5"/>
      <c r="C76" s="5"/>
      <c r="D76" s="4"/>
      <c r="E76" s="4"/>
      <c r="F76" s="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" customHeight="1" x14ac:dyDescent="0.2">
      <c r="A77" s="5" t="s">
        <v>170</v>
      </c>
      <c r="B77" s="5"/>
      <c r="C77" s="5"/>
      <c r="D77" s="4"/>
      <c r="E77" s="4"/>
      <c r="F77" s="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" customHeight="1" x14ac:dyDescent="0.2">
      <c r="A78" s="5"/>
      <c r="B78" s="5"/>
      <c r="C78" s="5"/>
      <c r="D78" s="4"/>
      <c r="E78" s="4"/>
      <c r="F78" s="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" customHeight="1" x14ac:dyDescent="0.2">
      <c r="A79" s="156" t="s">
        <v>133</v>
      </c>
      <c r="B79" s="157" t="s">
        <v>134</v>
      </c>
      <c r="C79" s="197" t="s">
        <v>171</v>
      </c>
      <c r="D79" s="158" t="s">
        <v>135</v>
      </c>
      <c r="E79" s="158" t="s">
        <v>136</v>
      </c>
      <c r="F79" s="159" t="s">
        <v>172</v>
      </c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" customHeight="1" x14ac:dyDescent="0.2">
      <c r="A80" s="165" t="s">
        <v>173</v>
      </c>
      <c r="B80" s="162" t="s">
        <v>163</v>
      </c>
      <c r="C80" s="198">
        <v>12</v>
      </c>
      <c r="D80" s="199">
        <v>102.92</v>
      </c>
      <c r="E80" s="164">
        <f t="shared" ref="E80:E86" si="3">IFERROR(D80/C80,0)</f>
        <v>8.5766666666666662</v>
      </c>
      <c r="F80" s="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" customHeight="1" x14ac:dyDescent="0.2">
      <c r="A81" s="165" t="s">
        <v>174</v>
      </c>
      <c r="B81" s="166" t="s">
        <v>163</v>
      </c>
      <c r="C81" s="198">
        <v>3</v>
      </c>
      <c r="D81" s="199">
        <v>6.95</v>
      </c>
      <c r="E81" s="164">
        <f t="shared" si="3"/>
        <v>2.3166666666666669</v>
      </c>
      <c r="F81" s="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" customHeight="1" x14ac:dyDescent="0.2">
      <c r="A82" s="165" t="s">
        <v>175</v>
      </c>
      <c r="B82" s="166" t="s">
        <v>163</v>
      </c>
      <c r="C82" s="198">
        <v>1</v>
      </c>
      <c r="D82" s="199">
        <v>1.42</v>
      </c>
      <c r="E82" s="164">
        <f t="shared" si="3"/>
        <v>1.42</v>
      </c>
      <c r="F82" s="4"/>
      <c r="G82" s="5"/>
      <c r="H82" s="5"/>
      <c r="I82" s="5"/>
      <c r="J82" s="5"/>
      <c r="K82" s="200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" customHeight="1" x14ac:dyDescent="0.2">
      <c r="A83" s="165" t="s">
        <v>176</v>
      </c>
      <c r="B83" s="166" t="s">
        <v>163</v>
      </c>
      <c r="C83" s="198">
        <v>1</v>
      </c>
      <c r="D83" s="199">
        <v>17.54</v>
      </c>
      <c r="E83" s="164">
        <f t="shared" si="3"/>
        <v>17.54</v>
      </c>
      <c r="F83" s="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" customHeight="1" x14ac:dyDescent="0.2">
      <c r="A84" s="165" t="s">
        <v>177</v>
      </c>
      <c r="B84" s="166" t="s">
        <v>178</v>
      </c>
      <c r="C84" s="198">
        <v>6</v>
      </c>
      <c r="D84" s="199">
        <v>67.17</v>
      </c>
      <c r="E84" s="164">
        <f t="shared" si="3"/>
        <v>11.195</v>
      </c>
      <c r="F84" s="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" customHeight="1" x14ac:dyDescent="0.2">
      <c r="A85" s="165" t="s">
        <v>180</v>
      </c>
      <c r="B85" s="166" t="s">
        <v>178</v>
      </c>
      <c r="C85" s="198">
        <v>3</v>
      </c>
      <c r="D85" s="199">
        <v>64.31</v>
      </c>
      <c r="E85" s="164">
        <f t="shared" si="3"/>
        <v>21.436666666666667</v>
      </c>
      <c r="F85" s="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" customHeight="1" x14ac:dyDescent="0.2">
      <c r="A86" s="165" t="s">
        <v>181</v>
      </c>
      <c r="B86" s="166" t="s">
        <v>163</v>
      </c>
      <c r="C86" s="198">
        <v>3</v>
      </c>
      <c r="D86" s="199">
        <v>55.65</v>
      </c>
      <c r="E86" s="164">
        <f t="shared" si="3"/>
        <v>18.55</v>
      </c>
      <c r="F86" s="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" customHeight="1" x14ac:dyDescent="0.2">
      <c r="A87" s="165" t="s">
        <v>182</v>
      </c>
      <c r="B87" s="166" t="s">
        <v>184</v>
      </c>
      <c r="C87" s="202">
        <v>1</v>
      </c>
      <c r="D87" s="204">
        <v>70</v>
      </c>
      <c r="E87" s="168">
        <f t="shared" ref="E87:E88" si="4">C87*D87</f>
        <v>70</v>
      </c>
      <c r="F87" s="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" customHeight="1" x14ac:dyDescent="0.2">
      <c r="A88" s="165" t="s">
        <v>151</v>
      </c>
      <c r="B88" s="166" t="s">
        <v>152</v>
      </c>
      <c r="C88" s="202">
        <f>E30</f>
        <v>1</v>
      </c>
      <c r="D88" s="168">
        <f>+SUM(E80:E87)</f>
        <v>151.035</v>
      </c>
      <c r="E88" s="168">
        <f t="shared" si="4"/>
        <v>151.035</v>
      </c>
      <c r="F88" s="4"/>
      <c r="G88" s="4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" customHeight="1" x14ac:dyDescent="0.2">
      <c r="A89" s="5"/>
      <c r="B89" s="5"/>
      <c r="C89" s="5"/>
      <c r="D89" s="179" t="s">
        <v>153</v>
      </c>
      <c r="E89" s="71">
        <f>$B$36</f>
        <v>1</v>
      </c>
      <c r="F89" s="180">
        <f>E88*E89</f>
        <v>151.035</v>
      </c>
      <c r="G89" s="4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" customHeight="1" x14ac:dyDescent="0.2">
      <c r="A90" s="5"/>
      <c r="B90" s="5"/>
      <c r="C90" s="5"/>
      <c r="D90" s="4"/>
      <c r="E90" s="4"/>
      <c r="F90" s="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" customHeight="1" x14ac:dyDescent="0.2">
      <c r="A91" s="194" t="s">
        <v>186</v>
      </c>
      <c r="B91" s="207"/>
      <c r="C91" s="207"/>
      <c r="D91" s="208"/>
      <c r="E91" s="208"/>
      <c r="F91" s="180">
        <f>+F89</f>
        <v>151.035</v>
      </c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" customHeight="1" x14ac:dyDescent="0.2">
      <c r="A92" s="5"/>
      <c r="B92" s="5"/>
      <c r="C92" s="5"/>
      <c r="D92" s="4"/>
      <c r="E92" s="4"/>
      <c r="F92" s="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" customHeight="1" x14ac:dyDescent="0.2">
      <c r="A93" s="9" t="s">
        <v>187</v>
      </c>
      <c r="B93" s="5"/>
      <c r="C93" s="5"/>
      <c r="D93" s="4"/>
      <c r="E93" s="4"/>
      <c r="F93" s="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" customHeight="1" x14ac:dyDescent="0.2">
      <c r="A94" s="5"/>
      <c r="B94" s="123"/>
      <c r="C94" s="5"/>
      <c r="D94" s="4"/>
      <c r="E94" s="4"/>
      <c r="F94" s="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" customHeight="1" x14ac:dyDescent="0.2">
      <c r="A95" s="5" t="s">
        <v>188</v>
      </c>
      <c r="B95" s="5"/>
      <c r="C95" s="5"/>
      <c r="D95" s="4"/>
      <c r="E95" s="4"/>
      <c r="F95" s="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" customHeight="1" x14ac:dyDescent="0.2">
      <c r="A96" s="5"/>
      <c r="B96" s="5"/>
      <c r="C96" s="5"/>
      <c r="D96" s="4"/>
      <c r="E96" s="4"/>
      <c r="F96" s="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" customHeight="1" x14ac:dyDescent="0.2">
      <c r="A97" s="123" t="s">
        <v>189</v>
      </c>
      <c r="B97" s="5"/>
      <c r="C97" s="5"/>
      <c r="D97" s="4"/>
      <c r="E97" s="4"/>
      <c r="F97" s="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" customHeight="1" x14ac:dyDescent="0.2">
      <c r="A98" s="156" t="s">
        <v>133</v>
      </c>
      <c r="B98" s="157" t="s">
        <v>134</v>
      </c>
      <c r="C98" s="157" t="s">
        <v>127</v>
      </c>
      <c r="D98" s="158" t="s">
        <v>135</v>
      </c>
      <c r="E98" s="158" t="s">
        <v>136</v>
      </c>
      <c r="F98" s="159" t="s">
        <v>190</v>
      </c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" customHeight="1" x14ac:dyDescent="0.2">
      <c r="A99" s="161" t="s">
        <v>191</v>
      </c>
      <c r="B99" s="162" t="s">
        <v>163</v>
      </c>
      <c r="C99" s="162">
        <v>1</v>
      </c>
      <c r="D99" s="211">
        <v>758755.96</v>
      </c>
      <c r="E99" s="212">
        <f>C99*D99</f>
        <v>758755.96</v>
      </c>
      <c r="G99" s="4"/>
      <c r="H99" s="4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" customHeight="1" x14ac:dyDescent="0.2">
      <c r="A100" s="165" t="s">
        <v>192</v>
      </c>
      <c r="B100" s="166" t="s">
        <v>193</v>
      </c>
      <c r="C100" s="171">
        <v>10</v>
      </c>
      <c r="D100" s="168"/>
      <c r="E100" s="168"/>
      <c r="G100" s="4"/>
      <c r="H100" s="4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" customHeight="1" x14ac:dyDescent="0.2">
      <c r="A101" s="165" t="s">
        <v>194</v>
      </c>
      <c r="B101" s="166" t="s">
        <v>193</v>
      </c>
      <c r="C101" s="171">
        <v>0</v>
      </c>
      <c r="D101" s="168"/>
      <c r="E101" s="168"/>
      <c r="G101" s="213"/>
      <c r="H101" s="213"/>
      <c r="I101" s="4"/>
      <c r="J101" s="214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" customHeight="1" x14ac:dyDescent="0.2">
      <c r="A102" s="165" t="s">
        <v>195</v>
      </c>
      <c r="B102" s="166" t="s">
        <v>47</v>
      </c>
      <c r="C102" s="176">
        <f>IFERROR(VLOOKUP(C100,'5. Depreciação'!A3:B17,2,FALSE),0)</f>
        <v>65.180000000000007</v>
      </c>
      <c r="D102" s="168">
        <f>E99</f>
        <v>758755.96</v>
      </c>
      <c r="E102" s="168">
        <f>C102*D102/100</f>
        <v>494557.13472800003</v>
      </c>
      <c r="G102" s="4"/>
      <c r="H102" s="4"/>
      <c r="I102" s="4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" customHeight="1" x14ac:dyDescent="0.2">
      <c r="A103" s="215" t="s">
        <v>196</v>
      </c>
      <c r="B103" s="216" t="s">
        <v>139</v>
      </c>
      <c r="C103" s="216">
        <f>C100*12</f>
        <v>120</v>
      </c>
      <c r="D103" s="217">
        <f>IF(C101&lt;=C100,E102,0)</f>
        <v>494557.13472800003</v>
      </c>
      <c r="E103" s="217">
        <f>IFERROR(D103/C103,0)</f>
        <v>4121.3094560666668</v>
      </c>
      <c r="G103" s="4"/>
      <c r="H103" s="4"/>
      <c r="I103" s="4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" customHeight="1" x14ac:dyDescent="0.2">
      <c r="A104" s="161" t="s">
        <v>198</v>
      </c>
      <c r="B104" s="162" t="s">
        <v>163</v>
      </c>
      <c r="C104" s="162">
        <v>3</v>
      </c>
      <c r="D104" s="163">
        <v>22353.33</v>
      </c>
      <c r="E104" s="164">
        <f>C104*D104</f>
        <v>67059.990000000005</v>
      </c>
      <c r="G104" s="4"/>
      <c r="H104" s="4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" customHeight="1" x14ac:dyDescent="0.2">
      <c r="A105" s="165" t="s">
        <v>200</v>
      </c>
      <c r="B105" s="166" t="s">
        <v>193</v>
      </c>
      <c r="C105" s="171">
        <v>10</v>
      </c>
      <c r="D105" s="168"/>
      <c r="E105" s="168"/>
      <c r="F105" s="4"/>
      <c r="G105" s="4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" customHeight="1" x14ac:dyDescent="0.2">
      <c r="A106" s="165" t="s">
        <v>201</v>
      </c>
      <c r="B106" s="166" t="s">
        <v>193</v>
      </c>
      <c r="C106" s="171">
        <v>0</v>
      </c>
      <c r="D106" s="168"/>
      <c r="E106" s="168"/>
      <c r="F106" s="213"/>
      <c r="G106" s="4"/>
      <c r="H106" s="5"/>
      <c r="I106" s="214"/>
      <c r="J106" s="214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" customHeight="1" x14ac:dyDescent="0.2">
      <c r="A107" s="165" t="s">
        <v>202</v>
      </c>
      <c r="B107" s="166" t="s">
        <v>47</v>
      </c>
      <c r="C107" s="220">
        <f>IFERROR(VLOOKUP(C105,'5. Depreciação'!A3:B17,2,FALSE),0)</f>
        <v>65.180000000000007</v>
      </c>
      <c r="D107" s="168">
        <f>E104</f>
        <v>67059.990000000005</v>
      </c>
      <c r="E107" s="168">
        <f>C107*D107/100</f>
        <v>43709.701482000004</v>
      </c>
      <c r="F107" s="4"/>
      <c r="G107" s="4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" customHeight="1" x14ac:dyDescent="0.2">
      <c r="A108" s="172" t="s">
        <v>203</v>
      </c>
      <c r="B108" s="221" t="s">
        <v>139</v>
      </c>
      <c r="C108" s="221">
        <f>C105*12</f>
        <v>120</v>
      </c>
      <c r="D108" s="175">
        <f>IF(C106&lt;=C105,E107,0)</f>
        <v>43709.701482000004</v>
      </c>
      <c r="E108" s="175">
        <f>IFERROR(D108/C108,0)</f>
        <v>364.24751235000002</v>
      </c>
      <c r="F108" s="4"/>
      <c r="G108" s="4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" customHeight="1" x14ac:dyDescent="0.2">
      <c r="A109" s="223" t="s">
        <v>209</v>
      </c>
      <c r="B109" s="173"/>
      <c r="C109" s="173"/>
      <c r="D109" s="174"/>
      <c r="E109" s="225">
        <f>E103+E108</f>
        <v>4485.5569684166667</v>
      </c>
      <c r="F109" s="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" customHeight="1" x14ac:dyDescent="0.2">
      <c r="A110" s="172" t="s">
        <v>211</v>
      </c>
      <c r="B110" s="221" t="s">
        <v>163</v>
      </c>
      <c r="C110" s="166">
        <v>1.1000000000000001</v>
      </c>
      <c r="D110" s="175">
        <f>E109</f>
        <v>4485.5569684166667</v>
      </c>
      <c r="E110" s="225">
        <f>C110*D110</f>
        <v>4934.1126652583334</v>
      </c>
      <c r="F110" s="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" customHeight="1" x14ac:dyDescent="0.2">
      <c r="A111" s="226"/>
      <c r="B111" s="226"/>
      <c r="C111" s="226"/>
      <c r="D111" s="179" t="s">
        <v>153</v>
      </c>
      <c r="E111" s="71">
        <f>$B$36</f>
        <v>1</v>
      </c>
      <c r="F111" s="180">
        <f>E110*E111</f>
        <v>4934.1126652583334</v>
      </c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" customHeight="1" x14ac:dyDescent="0.2">
      <c r="A112" s="5"/>
      <c r="B112" s="5"/>
      <c r="C112" s="5"/>
      <c r="D112" s="200"/>
      <c r="E112" s="4"/>
      <c r="F112" s="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" customHeight="1" x14ac:dyDescent="0.2">
      <c r="A113" s="123" t="s">
        <v>212</v>
      </c>
      <c r="B113" s="5"/>
      <c r="C113" s="5"/>
      <c r="D113" s="4"/>
      <c r="E113" s="4"/>
      <c r="F113" s="4"/>
      <c r="G113" s="4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" customHeight="1" x14ac:dyDescent="0.2">
      <c r="A114" s="156" t="s">
        <v>133</v>
      </c>
      <c r="B114" s="157" t="s">
        <v>134</v>
      </c>
      <c r="C114" s="157" t="s">
        <v>127</v>
      </c>
      <c r="D114" s="158" t="s">
        <v>135</v>
      </c>
      <c r="E114" s="158" t="s">
        <v>136</v>
      </c>
      <c r="F114" s="159" t="s">
        <v>213</v>
      </c>
      <c r="G114" s="4"/>
      <c r="H114" s="5"/>
      <c r="I114" s="214"/>
      <c r="J114" s="214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" customHeight="1" x14ac:dyDescent="0.2">
      <c r="A115" s="161" t="s">
        <v>214</v>
      </c>
      <c r="B115" s="162" t="s">
        <v>163</v>
      </c>
      <c r="C115" s="162">
        <v>1</v>
      </c>
      <c r="D115" s="164">
        <f>D99</f>
        <v>758755.96</v>
      </c>
      <c r="E115" s="162">
        <f>C115*D115</f>
        <v>758755.96</v>
      </c>
      <c r="F115" s="213"/>
      <c r="G115" s="4"/>
      <c r="H115" s="5"/>
      <c r="I115" s="214"/>
      <c r="J115" s="214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" customHeight="1" x14ac:dyDescent="0.2">
      <c r="A116" s="165" t="s">
        <v>215</v>
      </c>
      <c r="B116" s="166" t="s">
        <v>47</v>
      </c>
      <c r="C116" s="227">
        <v>13.75</v>
      </c>
      <c r="D116" s="168"/>
      <c r="E116" s="168"/>
      <c r="F116" s="213"/>
      <c r="G116" s="4"/>
      <c r="H116" s="5"/>
      <c r="I116" s="214"/>
      <c r="J116" s="214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" customHeight="1" x14ac:dyDescent="0.2">
      <c r="A117" s="165" t="s">
        <v>216</v>
      </c>
      <c r="B117" s="166" t="s">
        <v>145</v>
      </c>
      <c r="C117" s="168">
        <f>IFERROR(IF(C101&lt;=C100,E99-(C102/(100*C100)*C101)*E99,E99-E102),0)</f>
        <v>758755.96</v>
      </c>
      <c r="D117" s="168"/>
      <c r="E117" s="168"/>
      <c r="F117" s="213"/>
      <c r="G117" s="4"/>
      <c r="H117" s="5"/>
      <c r="I117" s="214"/>
      <c r="J117" s="214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" customHeight="1" x14ac:dyDescent="0.2">
      <c r="A118" s="165" t="s">
        <v>217</v>
      </c>
      <c r="B118" s="166" t="s">
        <v>145</v>
      </c>
      <c r="C118" s="168">
        <f>IFERROR(IF(C101&gt;=C100,C117,((((C117)-(E99-E102))*(((C100-C101)+1)/(2*(C100-C101))))+(E99-E102))),0)</f>
        <v>536205.24937239999</v>
      </c>
      <c r="D118" s="168"/>
      <c r="E118" s="168"/>
      <c r="F118" s="213"/>
      <c r="G118" s="4"/>
      <c r="H118" s="5"/>
      <c r="I118" s="214"/>
      <c r="J118" s="214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" customHeight="1" x14ac:dyDescent="0.2">
      <c r="A119" s="215" t="s">
        <v>218</v>
      </c>
      <c r="B119" s="216" t="s">
        <v>145</v>
      </c>
      <c r="C119" s="216"/>
      <c r="D119" s="217">
        <f>C116*C118/12/100</f>
        <v>6144.0184823920836</v>
      </c>
      <c r="E119" s="217">
        <f>D119</f>
        <v>6144.0184823920836</v>
      </c>
      <c r="F119" s="213"/>
      <c r="G119" s="4"/>
      <c r="H119" s="5"/>
      <c r="I119" s="214"/>
      <c r="J119" s="214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" customHeight="1" x14ac:dyDescent="0.2">
      <c r="A120" s="161" t="s">
        <v>219</v>
      </c>
      <c r="B120" s="162" t="s">
        <v>163</v>
      </c>
      <c r="C120" s="162">
        <f t="shared" ref="C120:D120" si="5">C104</f>
        <v>3</v>
      </c>
      <c r="D120" s="164">
        <f t="shared" si="5"/>
        <v>22353.33</v>
      </c>
      <c r="E120" s="164">
        <f>C120*D120</f>
        <v>67059.990000000005</v>
      </c>
      <c r="F120" s="213"/>
      <c r="G120" s="4"/>
      <c r="H120" s="5"/>
      <c r="I120" s="214"/>
      <c r="J120" s="214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" customHeight="1" x14ac:dyDescent="0.2">
      <c r="A121" s="165" t="s">
        <v>215</v>
      </c>
      <c r="B121" s="166" t="s">
        <v>47</v>
      </c>
      <c r="C121" s="166">
        <f>C116</f>
        <v>13.75</v>
      </c>
      <c r="D121" s="168"/>
      <c r="E121" s="168"/>
      <c r="F121" s="213"/>
      <c r="G121" s="4"/>
      <c r="H121" s="5"/>
      <c r="I121" s="214"/>
      <c r="J121" s="214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" customHeight="1" x14ac:dyDescent="0.2">
      <c r="A122" s="165" t="s">
        <v>220</v>
      </c>
      <c r="B122" s="166" t="s">
        <v>145</v>
      </c>
      <c r="C122" s="168">
        <f>IFERROR(IF(C106&lt;=C105,E104-(C107/(100*C105)*C106)*E104,E104-E107),0)</f>
        <v>67059.990000000005</v>
      </c>
      <c r="D122" s="168"/>
      <c r="E122" s="168"/>
      <c r="F122" s="213"/>
      <c r="G122" s="4"/>
      <c r="H122" s="5"/>
      <c r="I122" s="214"/>
      <c r="J122" s="214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" customHeight="1" x14ac:dyDescent="0.2">
      <c r="A123" s="165" t="s">
        <v>221</v>
      </c>
      <c r="B123" s="166" t="s">
        <v>145</v>
      </c>
      <c r="C123" s="168">
        <f>IFERROR(IF(C106&gt;=C105,C122,((((C122)-(E104-E107))*(((C105-C106)+1)/(2*(C105-C106))))+(E104-E107))),0)</f>
        <v>47390.624333100001</v>
      </c>
      <c r="D123" s="168"/>
      <c r="E123" s="168"/>
      <c r="F123" s="213"/>
      <c r="G123" s="214"/>
      <c r="H123" s="214"/>
      <c r="I123" s="214"/>
      <c r="J123" s="214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" customHeight="1" x14ac:dyDescent="0.2">
      <c r="A124" s="172" t="s">
        <v>222</v>
      </c>
      <c r="B124" s="221" t="s">
        <v>145</v>
      </c>
      <c r="C124" s="221"/>
      <c r="D124" s="175">
        <f>C121*C123/12/100</f>
        <v>543.01757048343757</v>
      </c>
      <c r="E124" s="175">
        <f>D124</f>
        <v>543.01757048343757</v>
      </c>
      <c r="F124" s="213"/>
      <c r="G124" s="214"/>
      <c r="H124" s="214"/>
      <c r="I124" s="214"/>
      <c r="J124" s="214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" customHeight="1" x14ac:dyDescent="0.2">
      <c r="A125" s="223" t="s">
        <v>209</v>
      </c>
      <c r="B125" s="173"/>
      <c r="C125" s="173"/>
      <c r="D125" s="174"/>
      <c r="E125" s="225">
        <f>E119+E124</f>
        <v>6687.0360528755209</v>
      </c>
      <c r="F125" s="213"/>
      <c r="G125" s="214"/>
      <c r="H125" s="214"/>
      <c r="I125" s="214"/>
      <c r="J125" s="214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" customHeight="1" x14ac:dyDescent="0.2">
      <c r="A126" s="172" t="s">
        <v>223</v>
      </c>
      <c r="B126" s="221" t="s">
        <v>163</v>
      </c>
      <c r="C126" s="166">
        <f>C110</f>
        <v>1.1000000000000001</v>
      </c>
      <c r="D126" s="175">
        <f>E125</f>
        <v>6687.0360528755209</v>
      </c>
      <c r="E126" s="225">
        <f>C126*D126</f>
        <v>7355.7396581630737</v>
      </c>
      <c r="F126" s="213"/>
      <c r="G126" s="214"/>
      <c r="H126" s="214"/>
      <c r="I126" s="214"/>
      <c r="J126" s="214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" customHeight="1" x14ac:dyDescent="0.2">
      <c r="A127" s="5"/>
      <c r="B127" s="5"/>
      <c r="C127" s="228"/>
      <c r="D127" s="179" t="s">
        <v>153</v>
      </c>
      <c r="E127" s="71">
        <f>$B$36</f>
        <v>1</v>
      </c>
      <c r="F127" s="180">
        <f>E126*E127</f>
        <v>7355.7396581630737</v>
      </c>
      <c r="G127" s="214"/>
      <c r="H127" s="214"/>
      <c r="I127" s="214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" customHeight="1" x14ac:dyDescent="0.2">
      <c r="A128" s="5"/>
      <c r="B128" s="5"/>
      <c r="C128" s="5"/>
      <c r="D128" s="4"/>
      <c r="E128" s="4"/>
      <c r="F128" s="4"/>
      <c r="G128" s="214"/>
      <c r="H128" s="214"/>
      <c r="I128" s="214"/>
      <c r="J128" s="214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" customHeight="1" x14ac:dyDescent="0.2">
      <c r="A129" s="5" t="s">
        <v>224</v>
      </c>
      <c r="B129" s="5"/>
      <c r="C129" s="5"/>
      <c r="D129" s="4"/>
      <c r="E129" s="4"/>
      <c r="F129" s="4"/>
      <c r="G129" s="214"/>
      <c r="H129" s="214"/>
      <c r="I129" s="214"/>
      <c r="J129" s="214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" customHeight="1" x14ac:dyDescent="0.2">
      <c r="A130" s="156" t="s">
        <v>133</v>
      </c>
      <c r="B130" s="157" t="s">
        <v>134</v>
      </c>
      <c r="C130" s="157" t="s">
        <v>127</v>
      </c>
      <c r="D130" s="158" t="s">
        <v>135</v>
      </c>
      <c r="E130" s="158" t="s">
        <v>136</v>
      </c>
      <c r="F130" s="159" t="s">
        <v>225</v>
      </c>
      <c r="G130" s="214"/>
      <c r="H130" s="214"/>
      <c r="I130" s="214"/>
      <c r="J130" s="214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" customHeight="1" x14ac:dyDescent="0.2">
      <c r="A131" s="161" t="s">
        <v>226</v>
      </c>
      <c r="B131" s="162" t="s">
        <v>163</v>
      </c>
      <c r="C131" s="164">
        <f>C110</f>
        <v>1.1000000000000001</v>
      </c>
      <c r="D131" s="164">
        <f>D99*0.01</f>
        <v>7587.5595999999996</v>
      </c>
      <c r="E131" s="164">
        <f t="shared" ref="E131:E133" si="6">C131*D131</f>
        <v>8346.3155600000009</v>
      </c>
      <c r="F131" s="4"/>
      <c r="G131" s="214"/>
      <c r="H131" s="214"/>
      <c r="I131" s="214"/>
      <c r="J131" s="214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" customHeight="1" x14ac:dyDescent="0.2">
      <c r="A132" s="165" t="s">
        <v>227</v>
      </c>
      <c r="B132" s="166" t="s">
        <v>163</v>
      </c>
      <c r="C132" s="164">
        <f>C110</f>
        <v>1.1000000000000001</v>
      </c>
      <c r="D132" s="189">
        <v>109.27</v>
      </c>
      <c r="E132" s="168">
        <f t="shared" si="6"/>
        <v>120.197</v>
      </c>
      <c r="F132" s="4"/>
      <c r="G132" s="214"/>
      <c r="H132" s="214"/>
      <c r="I132" s="214"/>
      <c r="J132" s="214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" customHeight="1" x14ac:dyDescent="0.2">
      <c r="A133" s="165" t="s">
        <v>228</v>
      </c>
      <c r="B133" s="166" t="s">
        <v>163</v>
      </c>
      <c r="C133" s="164">
        <f>C110</f>
        <v>1.1000000000000001</v>
      </c>
      <c r="D133" s="189">
        <v>1000</v>
      </c>
      <c r="E133" s="168">
        <f t="shared" si="6"/>
        <v>1100</v>
      </c>
      <c r="F133" s="174"/>
      <c r="G133" s="214"/>
      <c r="H133" s="214"/>
      <c r="I133" s="214"/>
      <c r="J133" s="214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" customHeight="1" x14ac:dyDescent="0.2">
      <c r="A134" s="172" t="s">
        <v>229</v>
      </c>
      <c r="B134" s="221" t="s">
        <v>139</v>
      </c>
      <c r="C134" s="221">
        <v>12</v>
      </c>
      <c r="D134" s="175">
        <f>SUM(E131:E133)</f>
        <v>9566.512560000001</v>
      </c>
      <c r="E134" s="175">
        <f>D134/C134</f>
        <v>797.20938000000012</v>
      </c>
      <c r="F134" s="4"/>
      <c r="G134" s="214"/>
      <c r="H134" s="214"/>
      <c r="I134" s="214"/>
      <c r="J134" s="214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" customHeight="1" x14ac:dyDescent="0.2">
      <c r="A135" s="5"/>
      <c r="B135" s="5"/>
      <c r="C135" s="5"/>
      <c r="D135" s="179" t="s">
        <v>153</v>
      </c>
      <c r="E135" s="71">
        <f>$B$36</f>
        <v>1</v>
      </c>
      <c r="F135" s="180">
        <f>E134*E135</f>
        <v>797.20938000000012</v>
      </c>
      <c r="G135" s="214"/>
      <c r="H135" s="214"/>
      <c r="I135" s="214"/>
      <c r="J135" s="5"/>
      <c r="K135" s="5"/>
      <c r="L135" s="5"/>
      <c r="M135" s="214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" customHeight="1" x14ac:dyDescent="0.2">
      <c r="A136" s="5"/>
      <c r="B136" s="5"/>
      <c r="C136" s="5"/>
      <c r="D136" s="200"/>
      <c r="E136" s="4"/>
      <c r="F136" s="4"/>
      <c r="G136" s="214"/>
      <c r="H136" s="214"/>
      <c r="I136" s="214"/>
      <c r="J136" s="214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" customHeight="1" x14ac:dyDescent="0.2">
      <c r="A137" s="5" t="s">
        <v>230</v>
      </c>
      <c r="B137" s="229"/>
      <c r="C137" s="5"/>
      <c r="D137" s="4"/>
      <c r="E137" s="4"/>
      <c r="F137" s="4"/>
      <c r="G137" s="4"/>
      <c r="H137" s="5"/>
      <c r="I137" s="214"/>
      <c r="J137" s="214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" customHeight="1" x14ac:dyDescent="0.2">
      <c r="A138" s="5"/>
      <c r="B138" s="229"/>
      <c r="C138" s="5"/>
      <c r="D138" s="4"/>
      <c r="E138" s="4"/>
      <c r="F138" s="4"/>
      <c r="G138" s="4"/>
      <c r="H138" s="5"/>
      <c r="I138" s="214"/>
      <c r="J138" s="214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" customHeight="1" x14ac:dyDescent="0.2">
      <c r="A139" s="172" t="s">
        <v>231</v>
      </c>
      <c r="B139" s="230">
        <v>1701.4</v>
      </c>
      <c r="C139" s="231"/>
      <c r="D139" s="4"/>
      <c r="E139" s="4"/>
      <c r="F139" s="4"/>
      <c r="G139" s="4"/>
      <c r="H139" s="5"/>
      <c r="I139" s="214"/>
      <c r="J139" s="214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" customHeight="1" x14ac:dyDescent="0.2">
      <c r="A140" s="5"/>
      <c r="B140" s="229"/>
      <c r="C140" s="5"/>
      <c r="D140" s="4"/>
      <c r="E140" s="4"/>
      <c r="F140" s="4"/>
      <c r="G140" s="4"/>
      <c r="H140" s="5"/>
      <c r="I140" s="214"/>
      <c r="J140" s="214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" customHeight="1" x14ac:dyDescent="0.2">
      <c r="A141" s="156" t="s">
        <v>133</v>
      </c>
      <c r="B141" s="157" t="s">
        <v>134</v>
      </c>
      <c r="C141" s="157" t="s">
        <v>232</v>
      </c>
      <c r="D141" s="158" t="s">
        <v>135</v>
      </c>
      <c r="E141" s="158" t="s">
        <v>136</v>
      </c>
      <c r="F141" s="159" t="s">
        <v>233</v>
      </c>
      <c r="G141" s="4"/>
      <c r="H141" s="5"/>
      <c r="I141" s="214"/>
      <c r="J141" s="214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" customHeight="1" x14ac:dyDescent="0.2">
      <c r="A142" s="161" t="s">
        <v>234</v>
      </c>
      <c r="B142" s="162" t="s">
        <v>235</v>
      </c>
      <c r="C142" s="232">
        <v>3</v>
      </c>
      <c r="D142" s="233">
        <v>6.59</v>
      </c>
      <c r="E142" s="164"/>
      <c r="F142" s="4"/>
      <c r="G142" s="4"/>
      <c r="H142" s="5"/>
      <c r="I142" s="214"/>
      <c r="J142" s="214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" customHeight="1" x14ac:dyDescent="0.2">
      <c r="A143" s="165" t="s">
        <v>236</v>
      </c>
      <c r="B143" s="166" t="s">
        <v>237</v>
      </c>
      <c r="C143" s="182">
        <f>B139</f>
        <v>1701.4</v>
      </c>
      <c r="D143" s="234">
        <f>IFERROR(+D142/C142,"-")</f>
        <v>2.1966666666666668</v>
      </c>
      <c r="E143" s="168">
        <f>IFERROR(C143*D143,"-")</f>
        <v>3737.4086666666672</v>
      </c>
      <c r="F143" s="4"/>
      <c r="G143" s="4"/>
      <c r="H143" s="5"/>
      <c r="I143" s="214"/>
      <c r="J143" s="214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" customHeight="1" x14ac:dyDescent="0.2">
      <c r="A144" s="161" t="s">
        <v>238</v>
      </c>
      <c r="B144" s="162" t="s">
        <v>235</v>
      </c>
      <c r="C144" s="232">
        <v>36</v>
      </c>
      <c r="D144" s="235">
        <v>3.72</v>
      </c>
      <c r="E144" s="164"/>
      <c r="F144" s="4"/>
      <c r="G144" s="4"/>
      <c r="H144" s="5"/>
      <c r="I144" s="214"/>
      <c r="J144" s="214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" customHeight="1" x14ac:dyDescent="0.2">
      <c r="A145" s="165" t="s">
        <v>239</v>
      </c>
      <c r="B145" s="166" t="s">
        <v>237</v>
      </c>
      <c r="C145" s="182">
        <f>B139</f>
        <v>1701.4</v>
      </c>
      <c r="D145" s="234">
        <f>IFERROR(+D144/C144,"-")</f>
        <v>0.10333333333333333</v>
      </c>
      <c r="E145" s="168">
        <f>IFERROR(C145*D145,"-")</f>
        <v>175.81133333333335</v>
      </c>
      <c r="F145" s="4"/>
      <c r="G145" s="4"/>
      <c r="H145" s="5"/>
      <c r="I145" s="214"/>
      <c r="J145" s="214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" customHeight="1" x14ac:dyDescent="0.2">
      <c r="A146" s="165" t="s">
        <v>240</v>
      </c>
      <c r="B146" s="166" t="s">
        <v>241</v>
      </c>
      <c r="C146" s="236">
        <v>5</v>
      </c>
      <c r="D146" s="189">
        <v>14.08</v>
      </c>
      <c r="E146" s="168"/>
      <c r="F146" s="4"/>
      <c r="G146" s="4"/>
      <c r="H146" s="5"/>
      <c r="I146" s="214"/>
      <c r="J146" s="214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" customHeight="1" x14ac:dyDescent="0.2">
      <c r="A147" s="165" t="s">
        <v>242</v>
      </c>
      <c r="B147" s="166" t="s">
        <v>237</v>
      </c>
      <c r="C147" s="182">
        <f>C143</f>
        <v>1701.4</v>
      </c>
      <c r="D147" s="237">
        <f>+C146*D146/1000</f>
        <v>7.0400000000000004E-2</v>
      </c>
      <c r="E147" s="168">
        <f>C147*D147</f>
        <v>119.77856000000001</v>
      </c>
      <c r="F147" s="4"/>
      <c r="G147" s="4"/>
      <c r="H147" s="5"/>
      <c r="I147" s="214"/>
      <c r="J147" s="214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" customHeight="1" x14ac:dyDescent="0.2">
      <c r="A148" s="165" t="s">
        <v>243</v>
      </c>
      <c r="B148" s="166" t="s">
        <v>241</v>
      </c>
      <c r="C148" s="236">
        <v>1</v>
      </c>
      <c r="D148" s="189">
        <v>11.07</v>
      </c>
      <c r="E148" s="168"/>
      <c r="F148" s="4"/>
      <c r="G148" s="4"/>
      <c r="H148" s="5"/>
      <c r="I148" s="214"/>
      <c r="J148" s="214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" customHeight="1" x14ac:dyDescent="0.2">
      <c r="A149" s="165" t="s">
        <v>244</v>
      </c>
      <c r="B149" s="166" t="s">
        <v>237</v>
      </c>
      <c r="C149" s="182">
        <f>C143</f>
        <v>1701.4</v>
      </c>
      <c r="D149" s="237">
        <f>+C148*D148/1000</f>
        <v>1.107E-2</v>
      </c>
      <c r="E149" s="168">
        <f>C149*D149</f>
        <v>18.834498</v>
      </c>
      <c r="F149" s="4"/>
      <c r="G149" s="4"/>
      <c r="H149" s="5"/>
      <c r="I149" s="214"/>
      <c r="J149" s="214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" customHeight="1" x14ac:dyDescent="0.2">
      <c r="A150" s="165" t="s">
        <v>245</v>
      </c>
      <c r="B150" s="166" t="s">
        <v>241</v>
      </c>
      <c r="C150" s="236">
        <v>7</v>
      </c>
      <c r="D150" s="189">
        <v>15.27</v>
      </c>
      <c r="E150" s="168"/>
      <c r="F150" s="4"/>
      <c r="G150" s="4"/>
      <c r="H150" s="5"/>
      <c r="I150" s="214"/>
      <c r="J150" s="214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" customHeight="1" x14ac:dyDescent="0.2">
      <c r="A151" s="165" t="s">
        <v>246</v>
      </c>
      <c r="B151" s="166" t="s">
        <v>237</v>
      </c>
      <c r="C151" s="182">
        <f>C143</f>
        <v>1701.4</v>
      </c>
      <c r="D151" s="237">
        <f>+C150*D150/1000</f>
        <v>0.10689</v>
      </c>
      <c r="E151" s="168">
        <f>C151*D151</f>
        <v>181.86264600000001</v>
      </c>
      <c r="F151" s="4"/>
      <c r="G151" s="4"/>
      <c r="H151" s="200"/>
      <c r="I151" s="214"/>
      <c r="J151" s="214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" customHeight="1" x14ac:dyDescent="0.2">
      <c r="A152" s="165" t="s">
        <v>247</v>
      </c>
      <c r="B152" s="166" t="s">
        <v>248</v>
      </c>
      <c r="C152" s="236">
        <v>1</v>
      </c>
      <c r="D152" s="189">
        <v>13.41</v>
      </c>
      <c r="E152" s="168"/>
      <c r="F152" s="4"/>
      <c r="G152" s="4"/>
      <c r="H152" s="5"/>
      <c r="I152" s="214"/>
      <c r="J152" s="214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" customHeight="1" x14ac:dyDescent="0.2">
      <c r="A153" s="165" t="s">
        <v>249</v>
      </c>
      <c r="B153" s="166" t="s">
        <v>237</v>
      </c>
      <c r="C153" s="182">
        <f>C143</f>
        <v>1701.4</v>
      </c>
      <c r="D153" s="237">
        <f>+C152*D152/1000</f>
        <v>1.341E-2</v>
      </c>
      <c r="E153" s="168">
        <f>C153*D153</f>
        <v>22.815774000000001</v>
      </c>
      <c r="F153" s="4"/>
      <c r="G153" s="200"/>
      <c r="H153" s="200"/>
      <c r="I153" s="200"/>
      <c r="J153" s="214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" customHeight="1" x14ac:dyDescent="0.2">
      <c r="A154" s="172" t="s">
        <v>250</v>
      </c>
      <c r="B154" s="221" t="s">
        <v>251</v>
      </c>
      <c r="C154" s="238"/>
      <c r="D154" s="239">
        <f>IFERROR(D143+D147+D149+D151+D153,0)</f>
        <v>2.3984366666666666</v>
      </c>
      <c r="E154" s="168"/>
      <c r="F154" s="4"/>
      <c r="G154" s="200"/>
      <c r="H154" s="200"/>
      <c r="I154" s="200"/>
      <c r="J154" s="214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" customHeight="1" x14ac:dyDescent="0.2">
      <c r="A155" s="5"/>
      <c r="B155" s="5"/>
      <c r="C155" s="5"/>
      <c r="D155" s="4"/>
      <c r="E155" s="4"/>
      <c r="F155" s="180">
        <f>SUM(E142:E153)</f>
        <v>4256.5114780000004</v>
      </c>
      <c r="G155" s="200"/>
      <c r="H155" s="200"/>
      <c r="I155" s="200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" customHeight="1" x14ac:dyDescent="0.2">
      <c r="A156" s="5"/>
      <c r="B156" s="5"/>
      <c r="C156" s="5"/>
      <c r="D156" s="4"/>
      <c r="E156" s="4"/>
      <c r="F156" s="4"/>
      <c r="G156" s="200"/>
      <c r="H156" s="200"/>
      <c r="I156" s="200"/>
      <c r="J156" s="214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" customHeight="1" x14ac:dyDescent="0.2">
      <c r="A157" s="5" t="s">
        <v>252</v>
      </c>
      <c r="B157" s="5"/>
      <c r="C157" s="5"/>
      <c r="D157" s="4"/>
      <c r="E157" s="4"/>
      <c r="F157" s="4"/>
      <c r="G157" s="4"/>
      <c r="H157" s="5"/>
      <c r="I157" s="214"/>
      <c r="J157" s="214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" customHeight="1" x14ac:dyDescent="0.2">
      <c r="A158" s="156" t="s">
        <v>133</v>
      </c>
      <c r="B158" s="157" t="s">
        <v>134</v>
      </c>
      <c r="C158" s="157" t="s">
        <v>127</v>
      </c>
      <c r="D158" s="158" t="s">
        <v>135</v>
      </c>
      <c r="E158" s="158" t="s">
        <v>136</v>
      </c>
      <c r="F158" s="159" t="s">
        <v>253</v>
      </c>
      <c r="G158" s="4"/>
      <c r="H158" s="5"/>
      <c r="I158" s="214"/>
      <c r="J158" s="214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" customHeight="1" x14ac:dyDescent="0.2">
      <c r="A159" s="161" t="s">
        <v>254</v>
      </c>
      <c r="B159" s="162" t="s">
        <v>251</v>
      </c>
      <c r="C159" s="182">
        <f>B139</f>
        <v>1701.4</v>
      </c>
      <c r="D159" s="163">
        <v>1</v>
      </c>
      <c r="E159" s="164">
        <f>C159*D159</f>
        <v>1701.4</v>
      </c>
      <c r="F159" s="4"/>
      <c r="G159" s="200"/>
      <c r="H159" s="200"/>
      <c r="I159" s="200"/>
      <c r="J159" s="214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" customHeight="1" x14ac:dyDescent="0.2">
      <c r="A160" s="5"/>
      <c r="B160" s="5"/>
      <c r="C160" s="5"/>
      <c r="D160" s="4"/>
      <c r="E160" s="4">
        <v>1069.2</v>
      </c>
      <c r="F160" s="180">
        <f>E159</f>
        <v>1701.4</v>
      </c>
      <c r="G160" s="200"/>
      <c r="H160" s="200"/>
      <c r="I160" s="200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" customHeight="1" x14ac:dyDescent="0.2">
      <c r="A161" s="5"/>
      <c r="B161" s="5"/>
      <c r="C161" s="5"/>
      <c r="D161" s="4"/>
      <c r="E161" s="4"/>
      <c r="F161" s="4"/>
      <c r="G161" s="200"/>
      <c r="H161" s="200"/>
      <c r="I161" s="200"/>
      <c r="J161" s="214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" customHeight="1" x14ac:dyDescent="0.2">
      <c r="A162" s="5" t="s">
        <v>255</v>
      </c>
      <c r="B162" s="5"/>
      <c r="C162" s="5"/>
      <c r="D162" s="4"/>
      <c r="E162" s="4"/>
      <c r="F162" s="4"/>
      <c r="G162" s="200"/>
      <c r="H162" s="200"/>
      <c r="I162" s="200"/>
      <c r="J162" s="214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" customHeight="1" x14ac:dyDescent="0.2">
      <c r="A163" s="156" t="s">
        <v>133</v>
      </c>
      <c r="B163" s="157" t="s">
        <v>134</v>
      </c>
      <c r="C163" s="157" t="s">
        <v>127</v>
      </c>
      <c r="D163" s="158" t="s">
        <v>135</v>
      </c>
      <c r="E163" s="158" t="s">
        <v>136</v>
      </c>
      <c r="F163" s="159" t="s">
        <v>256</v>
      </c>
      <c r="G163" s="200"/>
      <c r="H163" s="200"/>
      <c r="I163" s="200"/>
      <c r="J163" s="214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" customHeight="1" x14ac:dyDescent="0.2">
      <c r="A164" s="161" t="s">
        <v>257</v>
      </c>
      <c r="B164" s="162" t="s">
        <v>163</v>
      </c>
      <c r="C164" s="240">
        <v>12</v>
      </c>
      <c r="D164" s="163">
        <v>1545</v>
      </c>
      <c r="E164" s="164">
        <f>C164*D164</f>
        <v>18540</v>
      </c>
      <c r="F164" s="4"/>
      <c r="G164" s="200"/>
      <c r="H164" s="200"/>
      <c r="I164" s="200"/>
      <c r="J164" s="214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" customHeight="1" x14ac:dyDescent="0.2">
      <c r="A165" s="161" t="s">
        <v>258</v>
      </c>
      <c r="B165" s="162" t="s">
        <v>163</v>
      </c>
      <c r="C165" s="240">
        <v>1</v>
      </c>
      <c r="D165" s="164"/>
      <c r="E165" s="164"/>
      <c r="F165" s="4"/>
      <c r="G165" s="200"/>
      <c r="H165" s="200"/>
      <c r="I165" s="200"/>
      <c r="J165" s="214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" customHeight="1" x14ac:dyDescent="0.2">
      <c r="A166" s="161" t="s">
        <v>259</v>
      </c>
      <c r="B166" s="162" t="s">
        <v>163</v>
      </c>
      <c r="C166" s="164">
        <f>C164*C165</f>
        <v>12</v>
      </c>
      <c r="D166" s="163">
        <v>700</v>
      </c>
      <c r="E166" s="164">
        <f>C166*D166</f>
        <v>8400</v>
      </c>
      <c r="F166" s="4"/>
      <c r="G166" s="200"/>
      <c r="H166" s="200"/>
      <c r="I166" s="200"/>
      <c r="J166" s="214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" customHeight="1" x14ac:dyDescent="0.2">
      <c r="A167" s="165" t="s">
        <v>260</v>
      </c>
      <c r="B167" s="166" t="s">
        <v>261</v>
      </c>
      <c r="C167" s="241">
        <v>100000</v>
      </c>
      <c r="D167" s="168">
        <f>E164+E166</f>
        <v>26940</v>
      </c>
      <c r="E167" s="168">
        <f>IFERROR(D167/C167,"-")</f>
        <v>0.26939999999999997</v>
      </c>
      <c r="F167" s="4"/>
      <c r="G167" s="200"/>
      <c r="H167" s="200"/>
      <c r="I167" s="200"/>
      <c r="J167" s="214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" customHeight="1" x14ac:dyDescent="0.2">
      <c r="A168" s="165" t="s">
        <v>262</v>
      </c>
      <c r="B168" s="166" t="s">
        <v>237</v>
      </c>
      <c r="C168" s="182">
        <f>B139</f>
        <v>1701.4</v>
      </c>
      <c r="D168" s="168">
        <f>E167</f>
        <v>0.26939999999999997</v>
      </c>
      <c r="E168" s="168">
        <f>IFERROR(C168*D168,0)</f>
        <v>458.35715999999996</v>
      </c>
      <c r="F168" s="4"/>
      <c r="G168" s="200"/>
      <c r="H168" s="200"/>
      <c r="I168" s="200"/>
      <c r="J168" s="214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" customHeight="1" x14ac:dyDescent="0.2">
      <c r="A169" s="5"/>
      <c r="B169" s="5"/>
      <c r="C169" s="200"/>
      <c r="D169" s="4"/>
      <c r="E169" s="4"/>
      <c r="F169" s="180">
        <f>E168</f>
        <v>458.35715999999996</v>
      </c>
      <c r="G169" s="200"/>
      <c r="H169" s="200"/>
      <c r="I169" s="200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" customHeight="1" x14ac:dyDescent="0.2">
      <c r="A170" s="5"/>
      <c r="B170" s="5"/>
      <c r="C170" s="5"/>
      <c r="D170" s="5"/>
      <c r="E170" s="5"/>
      <c r="F170" s="5"/>
      <c r="G170" s="200"/>
      <c r="H170" s="200"/>
      <c r="I170" s="200"/>
      <c r="J170" s="214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" customHeight="1" x14ac:dyDescent="0.2">
      <c r="A171" s="194" t="s">
        <v>263</v>
      </c>
      <c r="B171" s="195"/>
      <c r="C171" s="195"/>
      <c r="D171" s="131"/>
      <c r="E171" s="131"/>
      <c r="F171" s="180">
        <f>+SUM(F99:F170)</f>
        <v>19503.33034142141</v>
      </c>
      <c r="G171" s="200"/>
      <c r="H171" s="200"/>
      <c r="I171" s="200"/>
      <c r="J171" s="214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" customHeight="1" x14ac:dyDescent="0.2">
      <c r="A172" s="5"/>
      <c r="B172" s="5"/>
      <c r="C172" s="5"/>
      <c r="D172" s="4"/>
      <c r="E172" s="4"/>
      <c r="F172" s="4"/>
      <c r="G172" s="200"/>
      <c r="H172" s="200"/>
      <c r="I172" s="200"/>
      <c r="J172" s="214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" customHeight="1" x14ac:dyDescent="0.2">
      <c r="A173" s="5"/>
      <c r="B173" s="5"/>
      <c r="C173" s="5"/>
      <c r="D173" s="4"/>
      <c r="E173" s="4"/>
      <c r="F173" s="4"/>
      <c r="G173" s="200"/>
      <c r="H173" s="200"/>
      <c r="I173" s="200"/>
      <c r="J173" s="214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" customHeight="1" x14ac:dyDescent="0.2">
      <c r="A174" s="9" t="s">
        <v>264</v>
      </c>
      <c r="B174" s="9"/>
      <c r="C174" s="9"/>
      <c r="D174" s="65"/>
      <c r="E174" s="65"/>
      <c r="F174" s="174"/>
      <c r="G174" s="200"/>
      <c r="H174" s="200"/>
      <c r="I174" s="200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" customHeight="1" x14ac:dyDescent="0.2">
      <c r="A175" s="5"/>
      <c r="B175" s="5"/>
      <c r="C175" s="5"/>
      <c r="D175" s="4"/>
      <c r="E175" s="4"/>
      <c r="F175" s="4"/>
      <c r="G175" s="200"/>
      <c r="H175" s="200"/>
      <c r="I175" s="200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" customHeight="1" x14ac:dyDescent="0.2">
      <c r="A176" s="156" t="s">
        <v>133</v>
      </c>
      <c r="B176" s="157" t="s">
        <v>134</v>
      </c>
      <c r="C176" s="157" t="s">
        <v>127</v>
      </c>
      <c r="D176" s="158" t="s">
        <v>135</v>
      </c>
      <c r="E176" s="158" t="s">
        <v>136</v>
      </c>
      <c r="F176" s="159" t="s">
        <v>265</v>
      </c>
      <c r="G176" s="200"/>
      <c r="H176" s="200"/>
      <c r="I176" s="200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" customHeight="1" x14ac:dyDescent="0.2">
      <c r="A177" s="165" t="s">
        <v>266</v>
      </c>
      <c r="B177" s="242" t="s">
        <v>267</v>
      </c>
      <c r="C177" s="202">
        <f>C99</f>
        <v>1</v>
      </c>
      <c r="D177" s="189">
        <v>131.5</v>
      </c>
      <c r="E177" s="168">
        <f>+D177*C177</f>
        <v>131.5</v>
      </c>
      <c r="F177" s="213"/>
      <c r="G177" s="200"/>
      <c r="H177" s="200"/>
      <c r="I177" s="200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" customHeight="1" x14ac:dyDescent="0.2">
      <c r="A178" s="165" t="s">
        <v>268</v>
      </c>
      <c r="B178" s="242" t="s">
        <v>139</v>
      </c>
      <c r="C178" s="166">
        <v>60</v>
      </c>
      <c r="D178" s="168">
        <f>SUM(E177)</f>
        <v>131.5</v>
      </c>
      <c r="E178" s="168">
        <f>+D178/C178</f>
        <v>2.1916666666666669</v>
      </c>
      <c r="F178" s="213"/>
      <c r="G178" s="200"/>
      <c r="H178" s="200"/>
      <c r="I178" s="200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" customHeight="1" x14ac:dyDescent="0.2">
      <c r="A179" s="165" t="s">
        <v>269</v>
      </c>
      <c r="B179" s="166" t="s">
        <v>163</v>
      </c>
      <c r="C179" s="202">
        <f>+C177</f>
        <v>1</v>
      </c>
      <c r="D179" s="189">
        <v>58.22</v>
      </c>
      <c r="E179" s="168">
        <f>C179*D179</f>
        <v>58.22</v>
      </c>
      <c r="F179" s="213"/>
      <c r="G179" s="200"/>
      <c r="H179" s="200"/>
      <c r="I179" s="200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" customHeight="1" x14ac:dyDescent="0.2">
      <c r="A180" s="165" t="s">
        <v>270</v>
      </c>
      <c r="B180" s="242" t="s">
        <v>139</v>
      </c>
      <c r="C180" s="166">
        <v>1</v>
      </c>
      <c r="D180" s="168">
        <f>+E179</f>
        <v>58.22</v>
      </c>
      <c r="E180" s="168">
        <f>+D180/C180</f>
        <v>58.22</v>
      </c>
      <c r="F180" s="213"/>
      <c r="G180" s="200"/>
      <c r="H180" s="200"/>
      <c r="I180" s="200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" customHeight="1" x14ac:dyDescent="0.2">
      <c r="A181" s="160"/>
      <c r="B181" s="160"/>
      <c r="C181" s="160"/>
      <c r="D181" s="179" t="s">
        <v>153</v>
      </c>
      <c r="E181" s="193">
        <f>$B$36</f>
        <v>1</v>
      </c>
      <c r="F181" s="180">
        <f>(E178+E180)*E181</f>
        <v>60.411666666666669</v>
      </c>
      <c r="G181" s="200"/>
      <c r="H181" s="200"/>
      <c r="I181" s="200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" customHeight="1" x14ac:dyDescent="0.2">
      <c r="A182" s="5"/>
      <c r="B182" s="5"/>
      <c r="C182" s="5"/>
      <c r="D182" s="200"/>
      <c r="E182" s="4"/>
      <c r="F182" s="4"/>
      <c r="G182" s="200"/>
      <c r="H182" s="200"/>
      <c r="I182" s="200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" customHeight="1" x14ac:dyDescent="0.2">
      <c r="A183" s="194" t="s">
        <v>271</v>
      </c>
      <c r="B183" s="195"/>
      <c r="C183" s="195"/>
      <c r="D183" s="131"/>
      <c r="E183" s="131"/>
      <c r="F183" s="180">
        <f>+F181</f>
        <v>60.411666666666669</v>
      </c>
      <c r="G183" s="200"/>
      <c r="H183" s="200"/>
      <c r="I183" s="200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" customHeight="1" x14ac:dyDescent="0.2">
      <c r="A184" s="5"/>
      <c r="B184" s="5"/>
      <c r="C184" s="5"/>
      <c r="D184" s="4"/>
      <c r="E184" s="4"/>
      <c r="F184" s="4"/>
      <c r="G184" s="200"/>
      <c r="H184" s="200"/>
      <c r="I184" s="200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" customHeight="1" x14ac:dyDescent="0.2">
      <c r="A185" s="194" t="s">
        <v>272</v>
      </c>
      <c r="B185" s="207"/>
      <c r="C185" s="207"/>
      <c r="D185" s="208"/>
      <c r="E185" s="243"/>
      <c r="F185" s="188">
        <f>+F183+F171+F91+F73</f>
        <v>26668.289654088658</v>
      </c>
      <c r="G185" s="200"/>
      <c r="H185" s="200"/>
      <c r="I185" s="200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" customHeight="1" x14ac:dyDescent="0.2">
      <c r="A186" s="5"/>
      <c r="B186" s="5"/>
      <c r="C186" s="5"/>
      <c r="D186" s="4"/>
      <c r="E186" s="4"/>
      <c r="F186" s="4"/>
      <c r="G186" s="200"/>
      <c r="H186" s="200"/>
      <c r="I186" s="200"/>
      <c r="J186" s="244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" customHeight="1" x14ac:dyDescent="0.2">
      <c r="A187" s="5"/>
      <c r="B187" s="5"/>
      <c r="C187" s="5"/>
      <c r="D187" s="4"/>
      <c r="E187" s="4"/>
      <c r="F187" s="4"/>
      <c r="G187" s="200"/>
      <c r="H187" s="200"/>
      <c r="I187" s="200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" customHeight="1" x14ac:dyDescent="0.2">
      <c r="A188" s="194" t="s">
        <v>273</v>
      </c>
      <c r="B188" s="207"/>
      <c r="C188" s="207"/>
      <c r="D188" s="208"/>
      <c r="E188" s="243"/>
      <c r="F188" s="188">
        <f>+F185</f>
        <v>26668.289654088658</v>
      </c>
      <c r="G188" s="200"/>
      <c r="H188" s="200"/>
      <c r="I188" s="200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" customHeight="1" x14ac:dyDescent="0.2">
      <c r="A189" s="5"/>
      <c r="B189" s="5"/>
      <c r="C189" s="5"/>
      <c r="D189" s="4"/>
      <c r="E189" s="4"/>
      <c r="F189" s="4"/>
      <c r="G189" s="200"/>
      <c r="H189" s="200"/>
      <c r="I189" s="200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" customHeight="1" x14ac:dyDescent="0.2">
      <c r="A190" s="9" t="s">
        <v>274</v>
      </c>
      <c r="B190" s="5"/>
      <c r="C190" s="5"/>
      <c r="D190" s="4"/>
      <c r="E190" s="4"/>
      <c r="F190" s="4"/>
      <c r="G190" s="200"/>
      <c r="H190" s="200"/>
      <c r="I190" s="200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" customHeight="1" x14ac:dyDescent="0.2">
      <c r="A191" s="5"/>
      <c r="B191" s="5"/>
      <c r="C191" s="5"/>
      <c r="D191" s="4"/>
      <c r="E191" s="4"/>
      <c r="F191" s="4"/>
      <c r="G191" s="200"/>
      <c r="H191" s="200"/>
      <c r="I191" s="200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" customHeight="1" x14ac:dyDescent="0.2">
      <c r="A192" s="156" t="s">
        <v>133</v>
      </c>
      <c r="B192" s="157" t="s">
        <v>134</v>
      </c>
      <c r="C192" s="157" t="s">
        <v>127</v>
      </c>
      <c r="D192" s="158" t="s">
        <v>135</v>
      </c>
      <c r="E192" s="158" t="s">
        <v>136</v>
      </c>
      <c r="F192" s="159" t="s">
        <v>275</v>
      </c>
      <c r="G192" s="200"/>
      <c r="H192" s="200"/>
      <c r="I192" s="200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" customHeight="1" x14ac:dyDescent="0.2">
      <c r="A193" s="161" t="s">
        <v>276</v>
      </c>
      <c r="B193" s="162" t="s">
        <v>47</v>
      </c>
      <c r="C193" s="245">
        <f>'4.BDI'!C17</f>
        <v>0.33289999999999997</v>
      </c>
      <c r="D193" s="164">
        <f>+F188</f>
        <v>26668.289654088658</v>
      </c>
      <c r="E193" s="164">
        <f>C193*D193</f>
        <v>8877.873625846114</v>
      </c>
      <c r="F193" s="4"/>
      <c r="G193" s="200"/>
      <c r="H193" s="200"/>
      <c r="I193" s="200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" customHeight="1" x14ac:dyDescent="0.2">
      <c r="A194" s="5"/>
      <c r="B194" s="5"/>
      <c r="C194" s="5"/>
      <c r="D194" s="4"/>
      <c r="E194" s="4"/>
      <c r="F194" s="180">
        <f>+E193</f>
        <v>8877.873625846114</v>
      </c>
      <c r="G194" s="200"/>
      <c r="H194" s="200"/>
      <c r="I194" s="200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" customHeight="1" x14ac:dyDescent="0.2">
      <c r="A195" s="5"/>
      <c r="B195" s="5"/>
      <c r="C195" s="5"/>
      <c r="D195" s="4"/>
      <c r="E195" s="4"/>
      <c r="F195" s="4"/>
      <c r="G195" s="200"/>
      <c r="H195" s="200"/>
      <c r="I195" s="200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" customHeight="1" x14ac:dyDescent="0.2">
      <c r="A196" s="194" t="s">
        <v>277</v>
      </c>
      <c r="B196" s="207"/>
      <c r="C196" s="207"/>
      <c r="D196" s="208"/>
      <c r="E196" s="243"/>
      <c r="F196" s="188">
        <f>F188+F194</f>
        <v>35546.163279934772</v>
      </c>
      <c r="G196" s="200"/>
      <c r="H196" s="200"/>
      <c r="I196" s="200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" customHeight="1" x14ac:dyDescent="0.2">
      <c r="A197" s="246"/>
      <c r="B197" s="246"/>
      <c r="C197" s="246"/>
      <c r="D197" s="247"/>
      <c r="E197" s="247"/>
      <c r="F197" s="247"/>
      <c r="G197" s="200"/>
      <c r="H197" s="200"/>
      <c r="I197" s="200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" customHeight="1" x14ac:dyDescent="0.2">
      <c r="A198" s="261" t="s">
        <v>133</v>
      </c>
      <c r="B198" s="256"/>
      <c r="C198" s="257"/>
      <c r="D198" s="248" t="s">
        <v>134</v>
      </c>
      <c r="E198" s="248" t="s">
        <v>127</v>
      </c>
      <c r="F198" s="249" t="s">
        <v>135</v>
      </c>
      <c r="G198" s="200"/>
      <c r="H198" s="200"/>
      <c r="I198" s="200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" customHeight="1" x14ac:dyDescent="0.2">
      <c r="A199" s="262" t="s">
        <v>278</v>
      </c>
      <c r="B199" s="263"/>
      <c r="C199" s="264"/>
      <c r="D199" s="250" t="s">
        <v>279</v>
      </c>
      <c r="E199" s="251">
        <v>47</v>
      </c>
      <c r="F199" s="164">
        <f>F196/E199</f>
        <v>756.30134638159086</v>
      </c>
      <c r="G199" s="200"/>
      <c r="H199" s="200"/>
      <c r="I199" s="200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" customHeight="1" x14ac:dyDescent="0.2">
      <c r="A200" s="5"/>
      <c r="B200" s="252"/>
      <c r="C200" s="151"/>
      <c r="D200" s="213"/>
      <c r="E200" s="213"/>
      <c r="F200" s="213"/>
      <c r="G200" s="200"/>
      <c r="H200" s="200"/>
      <c r="I200" s="200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" customHeight="1" x14ac:dyDescent="0.2">
      <c r="A201" s="265" t="s">
        <v>280</v>
      </c>
      <c r="B201" s="256"/>
      <c r="C201" s="256"/>
      <c r="D201" s="256"/>
      <c r="E201" s="266"/>
      <c r="F201" s="253">
        <f>F199</f>
        <v>756.30134638159086</v>
      </c>
      <c r="G201" s="200"/>
      <c r="H201" s="200"/>
      <c r="I201" s="200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">
      <c r="A202" s="5"/>
      <c r="B202" s="5"/>
      <c r="C202" s="5"/>
      <c r="D202" s="5"/>
      <c r="E202" s="5"/>
      <c r="F202" s="5"/>
      <c r="G202" s="200"/>
      <c r="H202" s="200"/>
      <c r="I202" s="200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">
      <c r="A203" s="5"/>
      <c r="B203" s="5"/>
      <c r="C203" s="5"/>
      <c r="D203" s="5"/>
      <c r="E203" s="5"/>
      <c r="F203" s="5"/>
      <c r="G203" s="200"/>
      <c r="H203" s="200"/>
      <c r="I203" s="200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">
      <c r="A204" s="5"/>
      <c r="B204" s="5"/>
      <c r="C204" s="5"/>
      <c r="D204" s="5"/>
      <c r="E204" s="5"/>
      <c r="F204" s="5"/>
      <c r="G204" s="200"/>
      <c r="H204" s="254"/>
      <c r="I204" s="200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">
      <c r="A205" s="9"/>
      <c r="B205" s="9"/>
      <c r="C205" s="9"/>
      <c r="D205" s="65"/>
      <c r="E205" s="6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">
      <c r="A206" s="247"/>
      <c r="B206" s="4"/>
      <c r="C206" s="4"/>
      <c r="D206" s="4"/>
      <c r="E206" s="4"/>
      <c r="F206" s="6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">
      <c r="A207" s="5"/>
      <c r="B207" s="5"/>
      <c r="C207" s="5"/>
      <c r="D207" s="4"/>
      <c r="E207" s="4"/>
      <c r="F207" s="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">
      <c r="A208" s="5"/>
      <c r="B208" s="5"/>
      <c r="C208" s="5"/>
      <c r="D208" s="4"/>
      <c r="E208" s="4"/>
      <c r="F208" s="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">
      <c r="A209" s="5"/>
      <c r="B209" s="5"/>
      <c r="C209" s="5"/>
      <c r="D209" s="4"/>
      <c r="E209" s="4"/>
      <c r="F209" s="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">
      <c r="A210" s="5"/>
      <c r="B210" s="5"/>
      <c r="C210" s="5"/>
      <c r="D210" s="4"/>
      <c r="E210" s="4"/>
      <c r="F210" s="4"/>
      <c r="G210" s="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">
      <c r="A211" s="5"/>
      <c r="B211" s="5"/>
      <c r="C211" s="5"/>
      <c r="D211" s="4"/>
      <c r="E211" s="4"/>
      <c r="F211" s="4"/>
      <c r="G211" s="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">
      <c r="A212" s="5"/>
      <c r="B212" s="5"/>
      <c r="C212" s="5"/>
      <c r="D212" s="4"/>
      <c r="E212" s="4"/>
      <c r="F212" s="4"/>
      <c r="G212" s="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">
      <c r="A213" s="5"/>
      <c r="B213" s="5"/>
      <c r="C213" s="5"/>
      <c r="D213" s="4"/>
      <c r="E213" s="4"/>
      <c r="F213" s="4"/>
      <c r="G213" s="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">
      <c r="A214" s="5"/>
      <c r="B214" s="5"/>
      <c r="C214" s="5"/>
      <c r="D214" s="4"/>
      <c r="E214" s="4"/>
      <c r="F214" s="4"/>
      <c r="G214" s="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">
      <c r="A215" s="5"/>
      <c r="B215" s="5"/>
      <c r="C215" s="5"/>
      <c r="D215" s="4"/>
      <c r="E215" s="4"/>
      <c r="F215" s="4"/>
      <c r="G215" s="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">
      <c r="A216" s="5"/>
      <c r="B216" s="5"/>
      <c r="C216" s="5"/>
      <c r="D216" s="4"/>
      <c r="E216" s="4"/>
      <c r="F216" s="4"/>
      <c r="G216" s="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">
      <c r="A217" s="5"/>
      <c r="B217" s="5"/>
      <c r="C217" s="5"/>
      <c r="D217" s="4"/>
      <c r="E217" s="4"/>
      <c r="F217" s="4"/>
      <c r="G217" s="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">
      <c r="A218" s="5"/>
      <c r="B218" s="5"/>
      <c r="C218" s="5"/>
      <c r="D218" s="4"/>
      <c r="E218" s="4"/>
      <c r="F218" s="4"/>
      <c r="G218" s="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">
      <c r="A219" s="5"/>
      <c r="B219" s="5"/>
      <c r="C219" s="5"/>
      <c r="D219" s="4"/>
      <c r="E219" s="4"/>
      <c r="F219" s="4"/>
      <c r="G219" s="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">
      <c r="A220" s="5"/>
      <c r="B220" s="5"/>
      <c r="C220" s="5"/>
      <c r="D220" s="4"/>
      <c r="E220" s="4"/>
      <c r="F220" s="4"/>
      <c r="G220" s="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">
      <c r="A221" s="5"/>
      <c r="B221" s="5"/>
      <c r="C221" s="5"/>
      <c r="D221" s="4"/>
      <c r="E221" s="4"/>
      <c r="F221" s="4"/>
      <c r="G221" s="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">
      <c r="A222" s="5"/>
      <c r="B222" s="5"/>
      <c r="C222" s="5"/>
      <c r="D222" s="4"/>
      <c r="E222" s="4"/>
      <c r="F222" s="4"/>
      <c r="G222" s="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">
      <c r="A223" s="5"/>
      <c r="B223" s="5"/>
      <c r="C223" s="5"/>
      <c r="D223" s="4"/>
      <c r="E223" s="4"/>
      <c r="F223" s="4"/>
      <c r="G223" s="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">
      <c r="A224" s="5"/>
      <c r="B224" s="5"/>
      <c r="C224" s="5"/>
      <c r="D224" s="4"/>
      <c r="E224" s="4"/>
      <c r="F224" s="4"/>
      <c r="G224" s="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">
      <c r="A225" s="5"/>
      <c r="B225" s="5"/>
      <c r="C225" s="5"/>
      <c r="D225" s="4"/>
      <c r="E225" s="4"/>
      <c r="F225" s="4"/>
      <c r="G225" s="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">
      <c r="A226" s="5"/>
      <c r="B226" s="5"/>
      <c r="C226" s="5"/>
      <c r="D226" s="4"/>
      <c r="E226" s="4"/>
      <c r="F226" s="4"/>
      <c r="G226" s="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">
      <c r="A227" s="5"/>
      <c r="B227" s="5"/>
      <c r="C227" s="5"/>
      <c r="D227" s="4"/>
      <c r="E227" s="4"/>
      <c r="F227" s="4"/>
      <c r="G227" s="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">
      <c r="A228" s="5"/>
      <c r="B228" s="5"/>
      <c r="C228" s="5"/>
      <c r="D228" s="4"/>
      <c r="E228" s="4"/>
      <c r="F228" s="4"/>
      <c r="G228" s="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">
      <c r="A229" s="5"/>
      <c r="B229" s="5"/>
      <c r="C229" s="5"/>
      <c r="D229" s="4"/>
      <c r="E229" s="4"/>
      <c r="F229" s="4"/>
      <c r="G229" s="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">
      <c r="A230" s="5"/>
      <c r="B230" s="5"/>
      <c r="C230" s="5"/>
      <c r="D230" s="4"/>
      <c r="E230" s="4"/>
      <c r="F230" s="4"/>
      <c r="G230" s="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">
      <c r="A231" s="5"/>
      <c r="B231" s="5"/>
      <c r="C231" s="5"/>
      <c r="D231" s="4"/>
      <c r="E231" s="4"/>
      <c r="F231" s="4"/>
      <c r="G231" s="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">
      <c r="A232" s="5"/>
      <c r="B232" s="5"/>
      <c r="C232" s="5"/>
      <c r="D232" s="4"/>
      <c r="E232" s="4"/>
      <c r="F232" s="4"/>
      <c r="G232" s="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">
      <c r="A233" s="5"/>
      <c r="B233" s="5"/>
      <c r="C233" s="5"/>
      <c r="D233" s="4"/>
      <c r="E233" s="4"/>
      <c r="F233" s="4"/>
      <c r="G233" s="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">
      <c r="A234" s="5"/>
      <c r="B234" s="5"/>
      <c r="C234" s="5"/>
      <c r="D234" s="4"/>
      <c r="E234" s="4"/>
      <c r="F234" s="4"/>
      <c r="G234" s="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">
      <c r="A235" s="5"/>
      <c r="B235" s="5"/>
      <c r="C235" s="5"/>
      <c r="D235" s="4"/>
      <c r="E235" s="4"/>
      <c r="F235" s="4"/>
      <c r="G235" s="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">
      <c r="A236" s="5"/>
      <c r="B236" s="5"/>
      <c r="C236" s="5"/>
      <c r="D236" s="4"/>
      <c r="E236" s="4"/>
      <c r="F236" s="4"/>
      <c r="G236" s="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">
      <c r="A237" s="5"/>
      <c r="B237" s="5"/>
      <c r="C237" s="5"/>
      <c r="D237" s="4"/>
      <c r="E237" s="4"/>
      <c r="F237" s="4"/>
      <c r="G237" s="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">
      <c r="A238" s="5"/>
      <c r="B238" s="5"/>
      <c r="C238" s="5"/>
      <c r="D238" s="4"/>
      <c r="E238" s="4"/>
      <c r="F238" s="4"/>
      <c r="G238" s="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">
      <c r="A239" s="5"/>
      <c r="B239" s="5"/>
      <c r="C239" s="5"/>
      <c r="D239" s="4"/>
      <c r="E239" s="4"/>
      <c r="F239" s="4"/>
      <c r="G239" s="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">
      <c r="A240" s="5"/>
      <c r="B240" s="5"/>
      <c r="C240" s="5"/>
      <c r="D240" s="4"/>
      <c r="E240" s="4"/>
      <c r="F240" s="4"/>
      <c r="G240" s="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">
      <c r="A241" s="5"/>
      <c r="B241" s="5"/>
      <c r="C241" s="5"/>
      <c r="D241" s="4"/>
      <c r="E241" s="4"/>
      <c r="F241" s="4"/>
      <c r="G241" s="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">
      <c r="A242" s="5"/>
      <c r="B242" s="5"/>
      <c r="C242" s="5"/>
      <c r="D242" s="4"/>
      <c r="E242" s="4"/>
      <c r="F242" s="4"/>
      <c r="G242" s="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">
      <c r="A243" s="5"/>
      <c r="B243" s="5"/>
      <c r="C243" s="5"/>
      <c r="D243" s="4"/>
      <c r="E243" s="4"/>
      <c r="F243" s="4"/>
      <c r="G243" s="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">
      <c r="A244" s="5"/>
      <c r="B244" s="5"/>
      <c r="C244" s="5"/>
      <c r="D244" s="4"/>
      <c r="E244" s="4"/>
      <c r="F244" s="4"/>
      <c r="G244" s="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">
      <c r="A245" s="5"/>
      <c r="B245" s="5"/>
      <c r="C245" s="5"/>
      <c r="D245" s="4"/>
      <c r="E245" s="4"/>
      <c r="F245" s="4"/>
      <c r="G245" s="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">
      <c r="A246" s="5"/>
      <c r="B246" s="5"/>
      <c r="C246" s="5"/>
      <c r="D246" s="4"/>
      <c r="E246" s="4"/>
      <c r="F246" s="4"/>
      <c r="G246" s="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">
      <c r="A247" s="5"/>
      <c r="B247" s="5"/>
      <c r="C247" s="5"/>
      <c r="D247" s="4"/>
      <c r="E247" s="4"/>
      <c r="F247" s="4"/>
      <c r="G247" s="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">
      <c r="A248" s="5"/>
      <c r="B248" s="5"/>
      <c r="C248" s="5"/>
      <c r="D248" s="4"/>
      <c r="E248" s="4"/>
      <c r="F248" s="4"/>
      <c r="G248" s="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">
      <c r="A249" s="5"/>
      <c r="B249" s="5"/>
      <c r="C249" s="5"/>
      <c r="D249" s="4"/>
      <c r="E249" s="4"/>
      <c r="F249" s="4"/>
      <c r="G249" s="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">
      <c r="A250" s="5"/>
      <c r="B250" s="5"/>
      <c r="C250" s="5"/>
      <c r="D250" s="4"/>
      <c r="E250" s="4"/>
      <c r="F250" s="4"/>
      <c r="G250" s="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">
      <c r="A251" s="5"/>
      <c r="B251" s="5"/>
      <c r="C251" s="5"/>
      <c r="D251" s="4"/>
      <c r="E251" s="4"/>
      <c r="F251" s="4"/>
      <c r="G251" s="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">
      <c r="A252" s="5"/>
      <c r="B252" s="5"/>
      <c r="C252" s="5"/>
      <c r="D252" s="4"/>
      <c r="E252" s="4"/>
      <c r="F252" s="4"/>
      <c r="G252" s="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">
      <c r="A253" s="5"/>
      <c r="B253" s="5"/>
      <c r="C253" s="5"/>
      <c r="D253" s="4"/>
      <c r="E253" s="4"/>
      <c r="F253" s="4"/>
      <c r="G253" s="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">
      <c r="A254" s="5"/>
      <c r="B254" s="5"/>
      <c r="C254" s="5"/>
      <c r="D254" s="4"/>
      <c r="E254" s="4"/>
      <c r="F254" s="4"/>
      <c r="G254" s="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">
      <c r="A255" s="5"/>
      <c r="B255" s="5"/>
      <c r="C255" s="5"/>
      <c r="D255" s="4"/>
      <c r="E255" s="4"/>
      <c r="F255" s="4"/>
      <c r="G255" s="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">
      <c r="A256" s="5"/>
      <c r="B256" s="5"/>
      <c r="C256" s="5"/>
      <c r="D256" s="4"/>
      <c r="E256" s="4"/>
      <c r="F256" s="4"/>
      <c r="G256" s="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">
      <c r="A257" s="5"/>
      <c r="B257" s="5"/>
      <c r="C257" s="5"/>
      <c r="D257" s="4"/>
      <c r="E257" s="4"/>
      <c r="F257" s="4"/>
      <c r="G257" s="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">
      <c r="A258" s="5"/>
      <c r="B258" s="5"/>
      <c r="C258" s="5"/>
      <c r="D258" s="4"/>
      <c r="E258" s="4"/>
      <c r="F258" s="4"/>
      <c r="G258" s="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5"/>
      <c r="B259" s="5"/>
      <c r="C259" s="5"/>
      <c r="D259" s="4"/>
      <c r="E259" s="4"/>
      <c r="F259" s="4"/>
      <c r="G259" s="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5"/>
      <c r="B260" s="5"/>
      <c r="C260" s="5"/>
      <c r="D260" s="4"/>
      <c r="E260" s="4"/>
      <c r="F260" s="4"/>
      <c r="G260" s="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5"/>
      <c r="B261" s="5"/>
      <c r="C261" s="5"/>
      <c r="D261" s="4"/>
      <c r="E261" s="4"/>
      <c r="F261" s="4"/>
      <c r="G261" s="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5"/>
      <c r="B262" s="5"/>
      <c r="C262" s="5"/>
      <c r="D262" s="4"/>
      <c r="E262" s="4"/>
      <c r="F262" s="4"/>
      <c r="G262" s="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5"/>
      <c r="B263" s="5"/>
      <c r="C263" s="5"/>
      <c r="D263" s="4"/>
      <c r="E263" s="4"/>
      <c r="F263" s="4"/>
      <c r="G263" s="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5"/>
      <c r="B264" s="5"/>
      <c r="C264" s="5"/>
      <c r="D264" s="4"/>
      <c r="E264" s="4"/>
      <c r="F264" s="4"/>
      <c r="G264" s="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5"/>
      <c r="B265" s="5"/>
      <c r="C265" s="5"/>
      <c r="D265" s="4"/>
      <c r="E265" s="4"/>
      <c r="F265" s="4"/>
      <c r="G265" s="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5"/>
      <c r="B266" s="5"/>
      <c r="C266" s="5"/>
      <c r="D266" s="4"/>
      <c r="E266" s="4"/>
      <c r="F266" s="4"/>
      <c r="G266" s="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5"/>
      <c r="B267" s="5"/>
      <c r="C267" s="5"/>
      <c r="D267" s="4"/>
      <c r="E267" s="4"/>
      <c r="F267" s="4"/>
      <c r="G267" s="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5"/>
      <c r="B268" s="5"/>
      <c r="C268" s="5"/>
      <c r="D268" s="4"/>
      <c r="E268" s="4"/>
      <c r="F268" s="4"/>
      <c r="G268" s="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5"/>
      <c r="B269" s="5"/>
      <c r="C269" s="5"/>
      <c r="D269" s="4"/>
      <c r="E269" s="4"/>
      <c r="F269" s="4"/>
      <c r="G269" s="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5"/>
      <c r="B270" s="5"/>
      <c r="C270" s="5"/>
      <c r="D270" s="4"/>
      <c r="E270" s="4"/>
      <c r="F270" s="4"/>
      <c r="G270" s="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5"/>
      <c r="B271" s="5"/>
      <c r="C271" s="5"/>
      <c r="D271" s="4"/>
      <c r="E271" s="4"/>
      <c r="F271" s="4"/>
      <c r="G271" s="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5"/>
      <c r="B272" s="5"/>
      <c r="C272" s="5"/>
      <c r="D272" s="4"/>
      <c r="E272" s="4"/>
      <c r="F272" s="4"/>
      <c r="G272" s="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">
      <c r="A273" s="5"/>
      <c r="B273" s="5"/>
      <c r="C273" s="5"/>
      <c r="D273" s="4"/>
      <c r="E273" s="4"/>
      <c r="F273" s="4"/>
      <c r="G273" s="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5"/>
      <c r="B274" s="5"/>
      <c r="C274" s="5"/>
      <c r="D274" s="4"/>
      <c r="E274" s="4"/>
      <c r="F274" s="4"/>
      <c r="G274" s="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">
      <c r="A275" s="5"/>
      <c r="B275" s="5"/>
      <c r="C275" s="5"/>
      <c r="D275" s="4"/>
      <c r="E275" s="4"/>
      <c r="F275" s="4"/>
      <c r="G275" s="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">
      <c r="A276" s="5"/>
      <c r="B276" s="5"/>
      <c r="C276" s="5"/>
      <c r="D276" s="4"/>
      <c r="E276" s="4"/>
      <c r="F276" s="4"/>
      <c r="G276" s="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">
      <c r="A277" s="5"/>
      <c r="B277" s="5"/>
      <c r="C277" s="5"/>
      <c r="D277" s="4"/>
      <c r="E277" s="4"/>
      <c r="F277" s="4"/>
      <c r="G277" s="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5"/>
      <c r="B278" s="5"/>
      <c r="C278" s="5"/>
      <c r="D278" s="4"/>
      <c r="E278" s="4"/>
      <c r="F278" s="4"/>
      <c r="G278" s="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5"/>
      <c r="B279" s="5"/>
      <c r="C279" s="5"/>
      <c r="D279" s="4"/>
      <c r="E279" s="4"/>
      <c r="F279" s="4"/>
      <c r="G279" s="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">
      <c r="A280" s="5"/>
      <c r="B280" s="5"/>
      <c r="C280" s="5"/>
      <c r="D280" s="4"/>
      <c r="E280" s="4"/>
      <c r="F280" s="4"/>
      <c r="G280" s="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">
      <c r="A281" s="5"/>
      <c r="B281" s="5"/>
      <c r="C281" s="5"/>
      <c r="D281" s="4"/>
      <c r="E281" s="4"/>
      <c r="F281" s="4"/>
      <c r="G281" s="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">
      <c r="A282" s="5"/>
      <c r="B282" s="5"/>
      <c r="C282" s="5"/>
      <c r="D282" s="4"/>
      <c r="E282" s="4"/>
      <c r="F282" s="4"/>
      <c r="G282" s="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">
      <c r="A283" s="5"/>
      <c r="B283" s="5"/>
      <c r="C283" s="5"/>
      <c r="D283" s="4"/>
      <c r="E283" s="4"/>
      <c r="F283" s="4"/>
      <c r="G283" s="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">
      <c r="A284" s="5"/>
      <c r="B284" s="5"/>
      <c r="C284" s="5"/>
      <c r="D284" s="4"/>
      <c r="E284" s="4"/>
      <c r="F284" s="4"/>
      <c r="G284" s="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">
      <c r="A285" s="5"/>
      <c r="B285" s="5"/>
      <c r="C285" s="5"/>
      <c r="D285" s="4"/>
      <c r="E285" s="4"/>
      <c r="F285" s="4"/>
      <c r="G285" s="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">
      <c r="A286" s="5"/>
      <c r="B286" s="5"/>
      <c r="C286" s="5"/>
      <c r="D286" s="4"/>
      <c r="E286" s="4"/>
      <c r="F286" s="4"/>
      <c r="G286" s="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">
      <c r="A287" s="5"/>
      <c r="B287" s="5"/>
      <c r="C287" s="5"/>
      <c r="D287" s="4"/>
      <c r="E287" s="4"/>
      <c r="F287" s="4"/>
      <c r="G287" s="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">
      <c r="A288" s="5"/>
      <c r="B288" s="5"/>
      <c r="C288" s="5"/>
      <c r="D288" s="4"/>
      <c r="E288" s="4"/>
      <c r="F288" s="4"/>
      <c r="G288" s="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">
      <c r="A289" s="5"/>
      <c r="B289" s="5"/>
      <c r="C289" s="5"/>
      <c r="D289" s="4"/>
      <c r="E289" s="4"/>
      <c r="F289" s="4"/>
      <c r="G289" s="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">
      <c r="A290" s="5"/>
      <c r="B290" s="5"/>
      <c r="C290" s="5"/>
      <c r="D290" s="4"/>
      <c r="E290" s="4"/>
      <c r="F290" s="4"/>
      <c r="G290" s="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">
      <c r="A291" s="5"/>
      <c r="B291" s="5"/>
      <c r="C291" s="5"/>
      <c r="D291" s="4"/>
      <c r="E291" s="4"/>
      <c r="F291" s="4"/>
      <c r="G291" s="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">
      <c r="A292" s="5"/>
      <c r="B292" s="5"/>
      <c r="C292" s="5"/>
      <c r="D292" s="4"/>
      <c r="E292" s="4"/>
      <c r="F292" s="4"/>
      <c r="G292" s="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">
      <c r="A293" s="5"/>
      <c r="B293" s="5"/>
      <c r="C293" s="5"/>
      <c r="D293" s="4"/>
      <c r="E293" s="4"/>
      <c r="F293" s="4"/>
      <c r="G293" s="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">
      <c r="A294" s="5"/>
      <c r="B294" s="5"/>
      <c r="C294" s="5"/>
      <c r="D294" s="4"/>
      <c r="E294" s="4"/>
      <c r="F294" s="4"/>
      <c r="G294" s="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">
      <c r="A295" s="5"/>
      <c r="B295" s="5"/>
      <c r="C295" s="5"/>
      <c r="D295" s="4"/>
      <c r="E295" s="4"/>
      <c r="F295" s="4"/>
      <c r="G295" s="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">
      <c r="A296" s="5"/>
      <c r="B296" s="5"/>
      <c r="C296" s="5"/>
      <c r="D296" s="4"/>
      <c r="E296" s="4"/>
      <c r="F296" s="4"/>
      <c r="G296" s="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">
      <c r="A297" s="5"/>
      <c r="B297" s="5"/>
      <c r="C297" s="5"/>
      <c r="D297" s="4"/>
      <c r="E297" s="4"/>
      <c r="F297" s="4"/>
      <c r="G297" s="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">
      <c r="A298" s="5"/>
      <c r="B298" s="5"/>
      <c r="C298" s="5"/>
      <c r="D298" s="4"/>
      <c r="E298" s="4"/>
      <c r="F298" s="4"/>
      <c r="G298" s="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">
      <c r="A299" s="5"/>
      <c r="B299" s="5"/>
      <c r="C299" s="5"/>
      <c r="D299" s="4"/>
      <c r="E299" s="4"/>
      <c r="F299" s="4"/>
      <c r="G299" s="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">
      <c r="A300" s="5"/>
      <c r="B300" s="5"/>
      <c r="C300" s="5"/>
      <c r="D300" s="4"/>
      <c r="E300" s="4"/>
      <c r="F300" s="4"/>
      <c r="G300" s="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">
      <c r="A301" s="5"/>
      <c r="B301" s="5"/>
      <c r="C301" s="5"/>
      <c r="D301" s="4"/>
      <c r="E301" s="4"/>
      <c r="F301" s="4"/>
      <c r="G301" s="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">
      <c r="A302" s="5"/>
      <c r="B302" s="5"/>
      <c r="C302" s="5"/>
      <c r="D302" s="4"/>
      <c r="E302" s="4"/>
      <c r="F302" s="4"/>
      <c r="G302" s="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">
      <c r="A303" s="5"/>
      <c r="B303" s="5"/>
      <c r="C303" s="5"/>
      <c r="D303" s="4"/>
      <c r="E303" s="4"/>
      <c r="F303" s="4"/>
      <c r="G303" s="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">
      <c r="A304" s="5"/>
      <c r="B304" s="5"/>
      <c r="C304" s="5"/>
      <c r="D304" s="4"/>
      <c r="E304" s="4"/>
      <c r="F304" s="4"/>
      <c r="G304" s="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">
      <c r="A305" s="5"/>
      <c r="B305" s="5"/>
      <c r="C305" s="5"/>
      <c r="D305" s="4"/>
      <c r="E305" s="4"/>
      <c r="F305" s="4"/>
      <c r="G305" s="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">
      <c r="A306" s="5"/>
      <c r="B306" s="5"/>
      <c r="C306" s="5"/>
      <c r="D306" s="4"/>
      <c r="E306" s="4"/>
      <c r="F306" s="4"/>
      <c r="G306" s="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">
      <c r="A307" s="5"/>
      <c r="B307" s="5"/>
      <c r="C307" s="5"/>
      <c r="D307" s="4"/>
      <c r="E307" s="4"/>
      <c r="F307" s="4"/>
      <c r="G307" s="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">
      <c r="A308" s="5"/>
      <c r="B308" s="5"/>
      <c r="C308" s="5"/>
      <c r="D308" s="4"/>
      <c r="E308" s="4"/>
      <c r="F308" s="4"/>
      <c r="G308" s="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">
      <c r="A309" s="5"/>
      <c r="B309" s="5"/>
      <c r="C309" s="5"/>
      <c r="D309" s="4"/>
      <c r="E309" s="4"/>
      <c r="F309" s="4"/>
      <c r="G309" s="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">
      <c r="A310" s="5"/>
      <c r="B310" s="5"/>
      <c r="C310" s="5"/>
      <c r="D310" s="4"/>
      <c r="E310" s="4"/>
      <c r="F310" s="4"/>
      <c r="G310" s="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">
      <c r="A311" s="5"/>
      <c r="B311" s="5"/>
      <c r="C311" s="5"/>
      <c r="D311" s="4"/>
      <c r="E311" s="4"/>
      <c r="F311" s="4"/>
      <c r="G311" s="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">
      <c r="A312" s="5"/>
      <c r="B312" s="5"/>
      <c r="C312" s="5"/>
      <c r="D312" s="4"/>
      <c r="E312" s="4"/>
      <c r="F312" s="4"/>
      <c r="G312" s="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">
      <c r="A313" s="5"/>
      <c r="B313" s="5"/>
      <c r="C313" s="5"/>
      <c r="D313" s="4"/>
      <c r="E313" s="4"/>
      <c r="F313" s="4"/>
      <c r="G313" s="4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">
      <c r="A314" s="5"/>
      <c r="B314" s="5"/>
      <c r="C314" s="5"/>
      <c r="D314" s="4"/>
      <c r="E314" s="4"/>
      <c r="F314" s="4"/>
      <c r="G314" s="4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">
      <c r="A315" s="5"/>
      <c r="B315" s="5"/>
      <c r="C315" s="5"/>
      <c r="D315" s="4"/>
      <c r="E315" s="4"/>
      <c r="F315" s="4"/>
      <c r="G315" s="4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">
      <c r="A316" s="5"/>
      <c r="B316" s="5"/>
      <c r="C316" s="5"/>
      <c r="D316" s="4"/>
      <c r="E316" s="4"/>
      <c r="F316" s="4"/>
      <c r="G316" s="4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">
      <c r="A317" s="5"/>
      <c r="B317" s="5"/>
      <c r="C317" s="5"/>
      <c r="D317" s="4"/>
      <c r="E317" s="4"/>
      <c r="F317" s="4"/>
      <c r="G317" s="4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">
      <c r="A318" s="5"/>
      <c r="B318" s="5"/>
      <c r="C318" s="5"/>
      <c r="D318" s="4"/>
      <c r="E318" s="4"/>
      <c r="F318" s="4"/>
      <c r="G318" s="4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">
      <c r="A319" s="5"/>
      <c r="B319" s="5"/>
      <c r="C319" s="5"/>
      <c r="D319" s="4"/>
      <c r="E319" s="4"/>
      <c r="F319" s="4"/>
      <c r="G319" s="4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">
      <c r="A320" s="5"/>
      <c r="B320" s="5"/>
      <c r="C320" s="5"/>
      <c r="D320" s="4"/>
      <c r="E320" s="4"/>
      <c r="F320" s="4"/>
      <c r="G320" s="4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">
      <c r="A321" s="5"/>
      <c r="B321" s="5"/>
      <c r="C321" s="5"/>
      <c r="D321" s="4"/>
      <c r="E321" s="4"/>
      <c r="F321" s="4"/>
      <c r="G321" s="4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">
      <c r="A322" s="5"/>
      <c r="B322" s="5"/>
      <c r="C322" s="5"/>
      <c r="D322" s="4"/>
      <c r="E322" s="4"/>
      <c r="F322" s="4"/>
      <c r="G322" s="4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">
      <c r="A323" s="5"/>
      <c r="B323" s="5"/>
      <c r="C323" s="5"/>
      <c r="D323" s="4"/>
      <c r="E323" s="4"/>
      <c r="F323" s="4"/>
      <c r="G323" s="4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">
      <c r="A324" s="5"/>
      <c r="B324" s="5"/>
      <c r="C324" s="5"/>
      <c r="D324" s="4"/>
      <c r="E324" s="4"/>
      <c r="F324" s="4"/>
      <c r="G324" s="4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">
      <c r="A325" s="5"/>
      <c r="B325" s="5"/>
      <c r="C325" s="5"/>
      <c r="D325" s="4"/>
      <c r="E325" s="4"/>
      <c r="F325" s="4"/>
      <c r="G325" s="4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">
      <c r="A326" s="5"/>
      <c r="B326" s="5"/>
      <c r="C326" s="5"/>
      <c r="D326" s="4"/>
      <c r="E326" s="4"/>
      <c r="F326" s="4"/>
      <c r="G326" s="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">
      <c r="A327" s="5"/>
      <c r="B327" s="5"/>
      <c r="C327" s="5"/>
      <c r="D327" s="4"/>
      <c r="E327" s="4"/>
      <c r="F327" s="4"/>
      <c r="G327" s="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">
      <c r="A328" s="5"/>
      <c r="B328" s="5"/>
      <c r="C328" s="5"/>
      <c r="D328" s="4"/>
      <c r="E328" s="4"/>
      <c r="F328" s="4"/>
      <c r="G328" s="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">
      <c r="A329" s="5"/>
      <c r="B329" s="5"/>
      <c r="C329" s="5"/>
      <c r="D329" s="4"/>
      <c r="E329" s="4"/>
      <c r="F329" s="4"/>
      <c r="G329" s="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">
      <c r="A330" s="5"/>
      <c r="B330" s="5"/>
      <c r="C330" s="5"/>
      <c r="D330" s="4"/>
      <c r="E330" s="4"/>
      <c r="F330" s="4"/>
      <c r="G330" s="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">
      <c r="A331" s="5"/>
      <c r="B331" s="5"/>
      <c r="C331" s="5"/>
      <c r="D331" s="4"/>
      <c r="E331" s="4"/>
      <c r="F331" s="4"/>
      <c r="G331" s="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">
      <c r="A332" s="5"/>
      <c r="B332" s="5"/>
      <c r="C332" s="5"/>
      <c r="D332" s="4"/>
      <c r="E332" s="4"/>
      <c r="F332" s="4"/>
      <c r="G332" s="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">
      <c r="A333" s="5"/>
      <c r="B333" s="5"/>
      <c r="C333" s="5"/>
      <c r="D333" s="4"/>
      <c r="E333" s="4"/>
      <c r="F333" s="4"/>
      <c r="G333" s="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">
      <c r="A334" s="5"/>
      <c r="B334" s="5"/>
      <c r="C334" s="5"/>
      <c r="D334" s="4"/>
      <c r="E334" s="4"/>
      <c r="F334" s="4"/>
      <c r="G334" s="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">
      <c r="A335" s="5"/>
      <c r="B335" s="5"/>
      <c r="C335" s="5"/>
      <c r="D335" s="4"/>
      <c r="E335" s="4"/>
      <c r="F335" s="4"/>
      <c r="G335" s="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">
      <c r="A336" s="5"/>
      <c r="B336" s="5"/>
      <c r="C336" s="5"/>
      <c r="D336" s="4"/>
      <c r="E336" s="4"/>
      <c r="F336" s="4"/>
      <c r="G336" s="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">
      <c r="A337" s="5"/>
      <c r="B337" s="5"/>
      <c r="C337" s="5"/>
      <c r="D337" s="4"/>
      <c r="E337" s="4"/>
      <c r="F337" s="4"/>
      <c r="G337" s="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">
      <c r="A338" s="5"/>
      <c r="B338" s="5"/>
      <c r="C338" s="5"/>
      <c r="D338" s="4"/>
      <c r="E338" s="4"/>
      <c r="F338" s="4"/>
      <c r="G338" s="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">
      <c r="A339" s="5"/>
      <c r="B339" s="5"/>
      <c r="C339" s="5"/>
      <c r="D339" s="4"/>
      <c r="E339" s="4"/>
      <c r="F339" s="4"/>
      <c r="G339" s="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">
      <c r="A340" s="5"/>
      <c r="B340" s="5"/>
      <c r="C340" s="5"/>
      <c r="D340" s="4"/>
      <c r="E340" s="4"/>
      <c r="F340" s="4"/>
      <c r="G340" s="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">
      <c r="A341" s="5"/>
      <c r="B341" s="5"/>
      <c r="C341" s="5"/>
      <c r="D341" s="4"/>
      <c r="E341" s="4"/>
      <c r="F341" s="4"/>
      <c r="G341" s="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">
      <c r="A342" s="5"/>
      <c r="B342" s="5"/>
      <c r="C342" s="5"/>
      <c r="D342" s="4"/>
      <c r="E342" s="4"/>
      <c r="F342" s="4"/>
      <c r="G342" s="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">
      <c r="A343" s="5"/>
      <c r="B343" s="5"/>
      <c r="C343" s="5"/>
      <c r="D343" s="4"/>
      <c r="E343" s="4"/>
      <c r="F343" s="4"/>
      <c r="G343" s="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">
      <c r="A344" s="5"/>
      <c r="B344" s="5"/>
      <c r="C344" s="5"/>
      <c r="D344" s="4"/>
      <c r="E344" s="4"/>
      <c r="F344" s="4"/>
      <c r="G344" s="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">
      <c r="A345" s="5"/>
      <c r="B345" s="5"/>
      <c r="C345" s="5"/>
      <c r="D345" s="4"/>
      <c r="E345" s="4"/>
      <c r="F345" s="4"/>
      <c r="G345" s="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">
      <c r="A346" s="5"/>
      <c r="B346" s="5"/>
      <c r="C346" s="5"/>
      <c r="D346" s="4"/>
      <c r="E346" s="4"/>
      <c r="F346" s="4"/>
      <c r="G346" s="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">
      <c r="A347" s="5"/>
      <c r="B347" s="5"/>
      <c r="C347" s="5"/>
      <c r="D347" s="4"/>
      <c r="E347" s="4"/>
      <c r="F347" s="4"/>
      <c r="G347" s="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">
      <c r="A348" s="5"/>
      <c r="B348" s="5"/>
      <c r="C348" s="5"/>
      <c r="D348" s="4"/>
      <c r="E348" s="4"/>
      <c r="F348" s="4"/>
      <c r="G348" s="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">
      <c r="A349" s="5"/>
      <c r="B349" s="5"/>
      <c r="C349" s="5"/>
      <c r="D349" s="4"/>
      <c r="E349" s="4"/>
      <c r="F349" s="4"/>
      <c r="G349" s="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">
      <c r="A350" s="5"/>
      <c r="B350" s="5"/>
      <c r="C350" s="5"/>
      <c r="D350" s="4"/>
      <c r="E350" s="4"/>
      <c r="F350" s="4"/>
      <c r="G350" s="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">
      <c r="A351" s="5"/>
      <c r="B351" s="5"/>
      <c r="C351" s="5"/>
      <c r="D351" s="4"/>
      <c r="E351" s="4"/>
      <c r="F351" s="4"/>
      <c r="G351" s="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">
      <c r="A352" s="5"/>
      <c r="B352" s="5"/>
      <c r="C352" s="5"/>
      <c r="D352" s="4"/>
      <c r="E352" s="4"/>
      <c r="F352" s="4"/>
      <c r="G352" s="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">
      <c r="A353" s="5"/>
      <c r="B353" s="5"/>
      <c r="C353" s="5"/>
      <c r="D353" s="4"/>
      <c r="E353" s="4"/>
      <c r="F353" s="4"/>
      <c r="G353" s="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">
      <c r="A354" s="5"/>
      <c r="B354" s="5"/>
      <c r="C354" s="5"/>
      <c r="D354" s="4"/>
      <c r="E354" s="4"/>
      <c r="F354" s="4"/>
      <c r="G354" s="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">
      <c r="A355" s="5"/>
      <c r="B355" s="5"/>
      <c r="C355" s="5"/>
      <c r="D355" s="4"/>
      <c r="E355" s="4"/>
      <c r="F355" s="4"/>
      <c r="G355" s="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">
      <c r="A356" s="5"/>
      <c r="B356" s="5"/>
      <c r="C356" s="5"/>
      <c r="D356" s="4"/>
      <c r="E356" s="4"/>
      <c r="F356" s="4"/>
      <c r="G356" s="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">
      <c r="A357" s="5"/>
      <c r="B357" s="5"/>
      <c r="C357" s="5"/>
      <c r="D357" s="4"/>
      <c r="E357" s="4"/>
      <c r="F357" s="4"/>
      <c r="G357" s="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">
      <c r="A358" s="5"/>
      <c r="B358" s="5"/>
      <c r="C358" s="5"/>
      <c r="D358" s="4"/>
      <c r="E358" s="4"/>
      <c r="F358" s="4"/>
      <c r="G358" s="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">
      <c r="A359" s="5"/>
      <c r="B359" s="5"/>
      <c r="C359" s="5"/>
      <c r="D359" s="4"/>
      <c r="E359" s="4"/>
      <c r="F359" s="4"/>
      <c r="G359" s="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">
      <c r="A360" s="5"/>
      <c r="B360" s="5"/>
      <c r="C360" s="5"/>
      <c r="D360" s="4"/>
      <c r="E360" s="4"/>
      <c r="F360" s="4"/>
      <c r="G360" s="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">
      <c r="A361" s="5"/>
      <c r="B361" s="5"/>
      <c r="C361" s="5"/>
      <c r="D361" s="4"/>
      <c r="E361" s="4"/>
      <c r="F361" s="4"/>
      <c r="G361" s="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">
      <c r="A362" s="5"/>
      <c r="B362" s="5"/>
      <c r="C362" s="5"/>
      <c r="D362" s="4"/>
      <c r="E362" s="4"/>
      <c r="F362" s="4"/>
      <c r="G362" s="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">
      <c r="A363" s="5"/>
      <c r="B363" s="5"/>
      <c r="C363" s="5"/>
      <c r="D363" s="4"/>
      <c r="E363" s="4"/>
      <c r="F363" s="4"/>
      <c r="G363" s="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">
      <c r="A364" s="5"/>
      <c r="B364" s="5"/>
      <c r="C364" s="5"/>
      <c r="D364" s="4"/>
      <c r="E364" s="4"/>
      <c r="F364" s="4"/>
      <c r="G364" s="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">
      <c r="A365" s="5"/>
      <c r="B365" s="5"/>
      <c r="C365" s="5"/>
      <c r="D365" s="4"/>
      <c r="E365" s="4"/>
      <c r="F365" s="4"/>
      <c r="G365" s="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">
      <c r="A366" s="5"/>
      <c r="B366" s="5"/>
      <c r="C366" s="5"/>
      <c r="D366" s="4"/>
      <c r="E366" s="4"/>
      <c r="F366" s="4"/>
      <c r="G366" s="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">
      <c r="A367" s="5"/>
      <c r="B367" s="5"/>
      <c r="C367" s="5"/>
      <c r="D367" s="4"/>
      <c r="E367" s="4"/>
      <c r="F367" s="4"/>
      <c r="G367" s="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">
      <c r="A368" s="5"/>
      <c r="B368" s="5"/>
      <c r="C368" s="5"/>
      <c r="D368" s="4"/>
      <c r="E368" s="4"/>
      <c r="F368" s="4"/>
      <c r="G368" s="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">
      <c r="A369" s="5"/>
      <c r="B369" s="5"/>
      <c r="C369" s="5"/>
      <c r="D369" s="4"/>
      <c r="E369" s="4"/>
      <c r="F369" s="4"/>
      <c r="G369" s="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">
      <c r="A370" s="5"/>
      <c r="B370" s="5"/>
      <c r="C370" s="5"/>
      <c r="D370" s="4"/>
      <c r="E370" s="4"/>
      <c r="F370" s="4"/>
      <c r="G370" s="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">
      <c r="A371" s="5"/>
      <c r="B371" s="5"/>
      <c r="C371" s="5"/>
      <c r="D371" s="4"/>
      <c r="E371" s="4"/>
      <c r="F371" s="4"/>
      <c r="G371" s="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">
      <c r="A372" s="5"/>
      <c r="B372" s="5"/>
      <c r="C372" s="5"/>
      <c r="D372" s="4"/>
      <c r="E372" s="4"/>
      <c r="F372" s="4"/>
      <c r="G372" s="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">
      <c r="A373" s="5"/>
      <c r="B373" s="5"/>
      <c r="C373" s="5"/>
      <c r="D373" s="4"/>
      <c r="E373" s="4"/>
      <c r="F373" s="4"/>
      <c r="G373" s="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">
      <c r="A374" s="5"/>
      <c r="B374" s="5"/>
      <c r="C374" s="5"/>
      <c r="D374" s="4"/>
      <c r="E374" s="4"/>
      <c r="F374" s="4"/>
      <c r="G374" s="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">
      <c r="A375" s="5"/>
      <c r="B375" s="5"/>
      <c r="C375" s="5"/>
      <c r="D375" s="4"/>
      <c r="E375" s="4"/>
      <c r="F375" s="4"/>
      <c r="G375" s="4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">
      <c r="A376" s="5"/>
      <c r="B376" s="5"/>
      <c r="C376" s="5"/>
      <c r="D376" s="4"/>
      <c r="E376" s="4"/>
      <c r="F376" s="4"/>
      <c r="G376" s="4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">
      <c r="A377" s="5"/>
      <c r="B377" s="5"/>
      <c r="C377" s="5"/>
      <c r="D377" s="4"/>
      <c r="E377" s="4"/>
      <c r="F377" s="4"/>
      <c r="G377" s="4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">
      <c r="A378" s="5"/>
      <c r="B378" s="5"/>
      <c r="C378" s="5"/>
      <c r="D378" s="4"/>
      <c r="E378" s="4"/>
      <c r="F378" s="4"/>
      <c r="G378" s="4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">
      <c r="A379" s="5"/>
      <c r="B379" s="5"/>
      <c r="C379" s="5"/>
      <c r="D379" s="4"/>
      <c r="E379" s="4"/>
      <c r="F379" s="4"/>
      <c r="G379" s="4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">
      <c r="A380" s="5"/>
      <c r="B380" s="5"/>
      <c r="C380" s="5"/>
      <c r="D380" s="4"/>
      <c r="E380" s="4"/>
      <c r="F380" s="4"/>
      <c r="G380" s="4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">
      <c r="A381" s="5"/>
      <c r="B381" s="5"/>
      <c r="C381" s="5"/>
      <c r="D381" s="4"/>
      <c r="E381" s="4"/>
      <c r="F381" s="4"/>
      <c r="G381" s="4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">
      <c r="A382" s="5"/>
      <c r="B382" s="5"/>
      <c r="C382" s="5"/>
      <c r="D382" s="4"/>
      <c r="E382" s="4"/>
      <c r="F382" s="4"/>
      <c r="G382" s="4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">
      <c r="A383" s="5"/>
      <c r="B383" s="5"/>
      <c r="C383" s="5"/>
      <c r="D383" s="4"/>
      <c r="E383" s="4"/>
      <c r="F383" s="4"/>
      <c r="G383" s="4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">
      <c r="A384" s="5"/>
      <c r="B384" s="5"/>
      <c r="C384" s="5"/>
      <c r="D384" s="4"/>
      <c r="E384" s="4"/>
      <c r="F384" s="4"/>
      <c r="G384" s="4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">
      <c r="A385" s="5"/>
      <c r="B385" s="5"/>
      <c r="C385" s="5"/>
      <c r="D385" s="4"/>
      <c r="E385" s="4"/>
      <c r="F385" s="4"/>
      <c r="G385" s="4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">
      <c r="A386" s="5"/>
      <c r="B386" s="5"/>
      <c r="C386" s="5"/>
      <c r="D386" s="4"/>
      <c r="E386" s="4"/>
      <c r="F386" s="4"/>
      <c r="G386" s="4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">
      <c r="A387" s="5"/>
      <c r="B387" s="5"/>
      <c r="C387" s="5"/>
      <c r="D387" s="4"/>
      <c r="E387" s="4"/>
      <c r="F387" s="4"/>
      <c r="G387" s="4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">
      <c r="A388" s="5"/>
      <c r="B388" s="5"/>
      <c r="C388" s="5"/>
      <c r="D388" s="4"/>
      <c r="E388" s="4"/>
      <c r="F388" s="4"/>
      <c r="G388" s="4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">
      <c r="A389" s="5"/>
      <c r="B389" s="5"/>
      <c r="C389" s="5"/>
      <c r="D389" s="4"/>
      <c r="E389" s="4"/>
      <c r="F389" s="4"/>
      <c r="G389" s="4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">
      <c r="A390" s="5"/>
      <c r="B390" s="5"/>
      <c r="C390" s="5"/>
      <c r="D390" s="4"/>
      <c r="E390" s="4"/>
      <c r="F390" s="4"/>
      <c r="G390" s="4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">
      <c r="A391" s="5"/>
      <c r="B391" s="5"/>
      <c r="C391" s="5"/>
      <c r="D391" s="4"/>
      <c r="E391" s="4"/>
      <c r="F391" s="4"/>
      <c r="G391" s="4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">
      <c r="A392" s="5"/>
      <c r="B392" s="5"/>
      <c r="C392" s="5"/>
      <c r="D392" s="4"/>
      <c r="E392" s="4"/>
      <c r="F392" s="4"/>
      <c r="G392" s="4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">
      <c r="A393" s="5"/>
      <c r="B393" s="5"/>
      <c r="C393" s="5"/>
      <c r="D393" s="4"/>
      <c r="E393" s="4"/>
      <c r="F393" s="4"/>
      <c r="G393" s="4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">
      <c r="A394" s="5"/>
      <c r="B394" s="5"/>
      <c r="C394" s="5"/>
      <c r="D394" s="4"/>
      <c r="E394" s="4"/>
      <c r="F394" s="4"/>
      <c r="G394" s="4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">
      <c r="G395" s="4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">
      <c r="G396" s="4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">
      <c r="G397" s="4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">
      <c r="G398" s="4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2"/>
    <row r="400" spans="1:26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</sheetData>
  <mergeCells count="12">
    <mergeCell ref="A13:C13"/>
    <mergeCell ref="A27:E27"/>
    <mergeCell ref="A1:F1"/>
    <mergeCell ref="A2:F2"/>
    <mergeCell ref="A3:F3"/>
    <mergeCell ref="A4:F4"/>
    <mergeCell ref="A6:F6"/>
    <mergeCell ref="A28:D28"/>
    <mergeCell ref="A32:D32"/>
    <mergeCell ref="A198:C198"/>
    <mergeCell ref="A199:C199"/>
    <mergeCell ref="A201:E201"/>
  </mergeCells>
  <hyperlinks>
    <hyperlink ref="A16" location="Google_Sheet_Link_283154434" display="      3.1.1. Depreciação      "/>
    <hyperlink ref="A17" location="Google_Sheet_Link_607211784" display="      3.1.2. Remuneração do Capital      "/>
    <hyperlink ref="A97" location="Google_Sheet_Link_283154434" display="3.1.1. Depreciação"/>
    <hyperlink ref="A113" location="Google_Sheet_Link_607211784" display="3.1.2. Remuneração do Capital"/>
  </hyperlinks>
  <pageMargins left="0.9055118110236221" right="0.51181102362204722" top="0.74803149606299213" bottom="0.74803149606299213" header="0" footer="0"/>
  <pageSetup paperSize="9" fitToHeight="0" orientation="portrait"/>
  <headerFooter>
    <oddFooter>&amp;R&amp;P de</oddFooter>
  </headerFooter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4"/>
  <sheetViews>
    <sheetView workbookViewId="0"/>
  </sheetViews>
  <sheetFormatPr defaultColWidth="12.5703125" defaultRowHeight="15" customHeight="1" x14ac:dyDescent="0.2"/>
  <cols>
    <col min="1" max="1" width="13.5703125" customWidth="1"/>
    <col min="2" max="2" width="39.5703125" customWidth="1"/>
    <col min="3" max="3" width="14.5703125" customWidth="1"/>
    <col min="4" max="4" width="37.28515625" customWidth="1"/>
    <col min="5" max="10" width="9.140625" customWidth="1"/>
    <col min="11" max="11" width="11" customWidth="1"/>
    <col min="12" max="23" width="9.140625" customWidth="1"/>
  </cols>
  <sheetData>
    <row r="1" spans="1:23" ht="16.5" customHeight="1" x14ac:dyDescent="0.2">
      <c r="A1" s="2"/>
      <c r="B1" s="3"/>
      <c r="C1" s="3"/>
      <c r="D1" s="4"/>
      <c r="E1" s="4"/>
      <c r="F1" s="4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12.7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2">
      <c r="A3" s="279" t="s">
        <v>2</v>
      </c>
      <c r="B3" s="280"/>
      <c r="C3" s="281"/>
      <c r="D3" s="6"/>
      <c r="E3" s="6"/>
      <c r="F3" s="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2">
      <c r="A4" s="10" t="s">
        <v>5</v>
      </c>
      <c r="B4" s="12" t="s">
        <v>6</v>
      </c>
      <c r="C4" s="15" t="s">
        <v>8</v>
      </c>
      <c r="D4" s="16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2">
      <c r="A5" s="10" t="s">
        <v>10</v>
      </c>
      <c r="B5" s="12" t="s">
        <v>11</v>
      </c>
      <c r="C5" s="20">
        <v>0.2</v>
      </c>
      <c r="D5" s="16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2">
      <c r="A6" s="10" t="s">
        <v>13</v>
      </c>
      <c r="B6" s="12" t="s">
        <v>15</v>
      </c>
      <c r="C6" s="20">
        <v>1.4999999999999999E-2</v>
      </c>
      <c r="D6" s="16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">
      <c r="A7" s="10" t="s">
        <v>17</v>
      </c>
      <c r="B7" s="12" t="s">
        <v>18</v>
      </c>
      <c r="C7" s="20">
        <v>0.01</v>
      </c>
      <c r="D7" s="16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2">
      <c r="A8" s="10" t="s">
        <v>20</v>
      </c>
      <c r="B8" s="12" t="s">
        <v>22</v>
      </c>
      <c r="C8" s="20">
        <v>2E-3</v>
      </c>
      <c r="D8" s="16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2">
      <c r="A9" s="10" t="s">
        <v>24</v>
      </c>
      <c r="B9" s="12" t="s">
        <v>25</v>
      </c>
      <c r="C9" s="20">
        <v>6.0000000000000001E-3</v>
      </c>
      <c r="D9" s="16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2">
      <c r="A10" s="10" t="s">
        <v>27</v>
      </c>
      <c r="B10" s="12" t="s">
        <v>28</v>
      </c>
      <c r="C10" s="20">
        <v>2.5000000000000001E-2</v>
      </c>
      <c r="D10" s="16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2">
      <c r="A11" s="10" t="s">
        <v>29</v>
      </c>
      <c r="B11" s="12" t="s">
        <v>30</v>
      </c>
      <c r="C11" s="20">
        <v>0.03</v>
      </c>
      <c r="D11" s="16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2">
      <c r="A12" s="10" t="s">
        <v>32</v>
      </c>
      <c r="B12" s="12" t="s">
        <v>33</v>
      </c>
      <c r="C12" s="20">
        <v>0.08</v>
      </c>
      <c r="D12" s="16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2">
      <c r="A13" s="10" t="s">
        <v>35</v>
      </c>
      <c r="B13" s="24" t="s">
        <v>37</v>
      </c>
      <c r="C13" s="31">
        <f>SUM(C5:C12)</f>
        <v>0.36800000000000005</v>
      </c>
      <c r="D13" s="16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2">
      <c r="A14" s="38"/>
      <c r="B14" s="40"/>
      <c r="C14" s="42"/>
      <c r="D14" s="16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2">
      <c r="A15" s="10" t="s">
        <v>49</v>
      </c>
      <c r="B15" s="45" t="s">
        <v>50</v>
      </c>
      <c r="C15" s="46" t="s">
        <v>53</v>
      </c>
      <c r="D15" s="16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2">
      <c r="A16" s="10" t="s">
        <v>56</v>
      </c>
      <c r="B16" s="45" t="s">
        <v>57</v>
      </c>
      <c r="C16" s="46" t="s">
        <v>53</v>
      </c>
      <c r="D16" s="16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2">
      <c r="A17" s="10" t="s">
        <v>59</v>
      </c>
      <c r="B17" s="45" t="s">
        <v>60</v>
      </c>
      <c r="C17" s="52">
        <v>6.7000000000000002E-3</v>
      </c>
      <c r="D17" s="16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">
      <c r="A18" s="10" t="s">
        <v>62</v>
      </c>
      <c r="B18" s="45" t="s">
        <v>63</v>
      </c>
      <c r="C18" s="52">
        <v>8.2900000000000001E-2</v>
      </c>
      <c r="D18" s="16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2">
      <c r="A19" s="10" t="s">
        <v>65</v>
      </c>
      <c r="B19" s="45" t="s">
        <v>66</v>
      </c>
      <c r="C19" s="52">
        <v>5.0000000000000001E-4</v>
      </c>
      <c r="D19" s="16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">
      <c r="A20" s="10" t="s">
        <v>67</v>
      </c>
      <c r="B20" s="45" t="s">
        <v>68</v>
      </c>
      <c r="C20" s="52">
        <v>5.5999999999999999E-3</v>
      </c>
      <c r="D20" s="16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2">
      <c r="A21" s="60" t="s">
        <v>70</v>
      </c>
      <c r="B21" s="45" t="s">
        <v>71</v>
      </c>
      <c r="C21" s="46" t="s">
        <v>53</v>
      </c>
      <c r="D21" s="16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" customHeight="1" x14ac:dyDescent="0.2">
      <c r="A22" s="60" t="s">
        <v>72</v>
      </c>
      <c r="B22" s="45" t="s">
        <v>73</v>
      </c>
      <c r="C22" s="52">
        <v>2.0000000000000001E-4</v>
      </c>
      <c r="D22" s="16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" customHeight="1" x14ac:dyDescent="0.2">
      <c r="A23" s="60" t="s">
        <v>75</v>
      </c>
      <c r="B23" s="45" t="s">
        <v>76</v>
      </c>
      <c r="C23" s="52">
        <v>8.3799999999999999E-2</v>
      </c>
      <c r="D23" s="16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" customHeight="1" x14ac:dyDescent="0.2">
      <c r="A24" s="60" t="s">
        <v>78</v>
      </c>
      <c r="B24" s="45" t="s">
        <v>79</v>
      </c>
      <c r="C24" s="52">
        <v>2.9999999999999997E-4</v>
      </c>
      <c r="D24" s="16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" customHeight="1" x14ac:dyDescent="0.2">
      <c r="A25" s="10" t="s">
        <v>80</v>
      </c>
      <c r="B25" s="24" t="s">
        <v>81</v>
      </c>
      <c r="C25" s="31">
        <f>SUM(C15:C24)</f>
        <v>0.18</v>
      </c>
      <c r="D25" s="73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" customHeight="1" x14ac:dyDescent="0.2">
      <c r="A26" s="38"/>
      <c r="B26" s="40"/>
      <c r="C26" s="42"/>
      <c r="D26" s="73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" customHeight="1" x14ac:dyDescent="0.2">
      <c r="A27" s="10" t="s">
        <v>84</v>
      </c>
      <c r="B27" s="12" t="s">
        <v>85</v>
      </c>
      <c r="C27" s="52">
        <v>3.1699999999999999E-2</v>
      </c>
      <c r="D27" s="16"/>
      <c r="E27" s="76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" customHeight="1" x14ac:dyDescent="0.2">
      <c r="A28" s="10" t="s">
        <v>86</v>
      </c>
      <c r="B28" s="78" t="s">
        <v>87</v>
      </c>
      <c r="C28" s="52">
        <v>8.0000000000000004E-4</v>
      </c>
      <c r="D28" s="16"/>
      <c r="E28" s="1"/>
      <c r="F28" s="1"/>
      <c r="G28" s="1"/>
      <c r="H28" s="79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" customHeight="1" x14ac:dyDescent="0.2">
      <c r="A29" s="10" t="s">
        <v>89</v>
      </c>
      <c r="B29" s="78" t="s">
        <v>90</v>
      </c>
      <c r="C29" s="52">
        <v>2.7300000000000001E-2</v>
      </c>
      <c r="D29" s="16"/>
      <c r="E29" s="76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" customHeight="1" x14ac:dyDescent="0.2">
      <c r="A30" s="10" t="s">
        <v>91</v>
      </c>
      <c r="B30" s="12" t="s">
        <v>92</v>
      </c>
      <c r="C30" s="52">
        <v>1.35E-2</v>
      </c>
      <c r="D30" s="16"/>
      <c r="E30" s="1"/>
      <c r="F30" s="1"/>
      <c r="G30" s="76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" customHeight="1" x14ac:dyDescent="0.2">
      <c r="A31" s="10" t="s">
        <v>95</v>
      </c>
      <c r="B31" s="12" t="s">
        <v>97</v>
      </c>
      <c r="C31" s="52">
        <v>2.5999999999999999E-3</v>
      </c>
      <c r="D31" s="16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" customHeight="1" x14ac:dyDescent="0.2">
      <c r="A32" s="10" t="s">
        <v>99</v>
      </c>
      <c r="B32" s="24" t="s">
        <v>102</v>
      </c>
      <c r="C32" s="31">
        <f>SUM(C27:C31)</f>
        <v>7.5900000000000009E-2</v>
      </c>
      <c r="D32" s="73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" customHeight="1" x14ac:dyDescent="0.2">
      <c r="A33" s="38"/>
      <c r="B33" s="40"/>
      <c r="C33" s="42"/>
      <c r="D33" s="73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5" customHeight="1" x14ac:dyDescent="0.2">
      <c r="A34" s="10" t="s">
        <v>107</v>
      </c>
      <c r="B34" s="78" t="s">
        <v>108</v>
      </c>
      <c r="C34" s="20">
        <f>C13*C25</f>
        <v>6.6240000000000007E-2</v>
      </c>
      <c r="D34" s="16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8.75" customHeight="1" x14ac:dyDescent="0.2">
      <c r="A35" s="10" t="s">
        <v>111</v>
      </c>
      <c r="B35" s="86" t="s">
        <v>112</v>
      </c>
      <c r="C35" s="20">
        <f>(C27*C12)+(C28*C13)</f>
        <v>2.8304000000000003E-3</v>
      </c>
      <c r="D35" s="16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" customHeight="1" x14ac:dyDescent="0.2">
      <c r="A36" s="10" t="s">
        <v>116</v>
      </c>
      <c r="B36" s="24" t="s">
        <v>117</v>
      </c>
      <c r="C36" s="31">
        <f>SUM(C34:C35)</f>
        <v>6.9070400000000004E-2</v>
      </c>
      <c r="D36" s="73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" customHeight="1" x14ac:dyDescent="0.2">
      <c r="A37" s="94"/>
      <c r="B37" s="96" t="s">
        <v>118</v>
      </c>
      <c r="C37" s="100">
        <f>C36+C32+C25+C13</f>
        <v>0.6929704000000001</v>
      </c>
      <c r="D37" s="73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2.75" customHeight="1" x14ac:dyDescent="0.2">
      <c r="A38" s="16"/>
      <c r="B38" s="103"/>
      <c r="C38" s="104"/>
      <c r="D38" s="106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2.75" customHeight="1" x14ac:dyDescent="0.2">
      <c r="A39" s="16"/>
      <c r="B39" s="16"/>
      <c r="C39" s="109"/>
      <c r="D39" s="11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2.75" customHeight="1" x14ac:dyDescent="0.2">
      <c r="A40" s="16"/>
      <c r="B40" s="16"/>
      <c r="C40" s="109"/>
      <c r="D40" s="16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2.75" customHeight="1" x14ac:dyDescent="0.2">
      <c r="A41" s="16"/>
      <c r="B41" s="16"/>
      <c r="C41" s="109"/>
      <c r="D41" s="16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2.75" customHeight="1" x14ac:dyDescent="0.2">
      <c r="A42" s="16"/>
      <c r="B42" s="16"/>
      <c r="C42" s="109"/>
      <c r="D42" s="16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2.75" customHeight="1" x14ac:dyDescent="0.2">
      <c r="A43" s="16"/>
      <c r="B43" s="103"/>
      <c r="C43" s="104"/>
      <c r="D43" s="16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2.75" customHeight="1" x14ac:dyDescent="0.2">
      <c r="A44" s="73"/>
      <c r="B44" s="103"/>
      <c r="C44" s="104"/>
      <c r="D44" s="73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2.75" customHeight="1" x14ac:dyDescent="0.2">
      <c r="A45" s="11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2.75" customHeight="1" x14ac:dyDescent="0.2">
      <c r="A46" s="11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2.75" customHeight="1" x14ac:dyDescent="0.2">
      <c r="A47" s="16"/>
      <c r="B47" s="117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2.75" customHeight="1" x14ac:dyDescent="0.2">
      <c r="A48" s="16"/>
      <c r="B48" s="117"/>
      <c r="C48" s="16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2.75" customHeight="1" x14ac:dyDescent="0.2">
      <c r="A49" s="16"/>
      <c r="B49" s="109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2.75" customHeight="1" x14ac:dyDescent="0.2">
      <c r="A50" s="16"/>
      <c r="B50" s="117"/>
      <c r="C50" s="16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2.75" customHeight="1" x14ac:dyDescent="0.2">
      <c r="A51" s="16"/>
      <c r="B51" s="109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2.75" customHeight="1" x14ac:dyDescent="0.2">
      <c r="A52" s="16"/>
      <c r="B52" s="117"/>
      <c r="C52" s="16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2.75" customHeight="1" x14ac:dyDescent="0.2">
      <c r="A53" s="16"/>
      <c r="B53" s="109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2.75" customHeight="1" x14ac:dyDescent="0.2">
      <c r="A54" s="16"/>
      <c r="B54" s="117"/>
      <c r="C54" s="16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2.75" customHeight="1" x14ac:dyDescent="0.2">
      <c r="A55" s="16"/>
      <c r="B55" s="109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2.75" customHeight="1" x14ac:dyDescent="0.2">
      <c r="A56" s="11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2.75" customHeight="1" x14ac:dyDescent="0.2">
      <c r="A59" s="12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"/>
    <row r="239" spans="1:23" ht="15.75" customHeight="1" x14ac:dyDescent="0.2"/>
    <row r="240" spans="1:23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</sheetData>
  <mergeCells count="1">
    <mergeCell ref="A3:C3"/>
  </mergeCells>
  <pageMargins left="0.90551181102362199" right="0.51181102362204722" top="0.74803149606299213" bottom="0.74803149606299213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98"/>
  <sheetViews>
    <sheetView workbookViewId="0"/>
  </sheetViews>
  <sheetFormatPr defaultColWidth="12.5703125" defaultRowHeight="15" customHeight="1" x14ac:dyDescent="0.2"/>
  <cols>
    <col min="1" max="1" width="67.140625" customWidth="1"/>
    <col min="2" max="2" width="13.7109375" customWidth="1"/>
    <col min="3" max="3" width="10.28515625" customWidth="1"/>
    <col min="4" max="4" width="13.7109375" customWidth="1"/>
    <col min="5" max="22" width="9.140625" customWidth="1"/>
  </cols>
  <sheetData>
    <row r="1" spans="1:22" ht="12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21" customHeight="1" x14ac:dyDescent="0.25">
      <c r="A2" s="282" t="s">
        <v>0</v>
      </c>
      <c r="B2" s="28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2.75" customHeight="1" x14ac:dyDescent="0.25">
      <c r="A3" s="7" t="s">
        <v>4</v>
      </c>
      <c r="B3" s="8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2.75" customHeight="1" x14ac:dyDescent="0.25">
      <c r="A4" s="13" t="s">
        <v>7</v>
      </c>
      <c r="B4" s="17">
        <v>1932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2.75" customHeight="1" x14ac:dyDescent="0.25">
      <c r="A5" s="19" t="s">
        <v>9</v>
      </c>
      <c r="B5" s="17">
        <v>2197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2.75" customHeight="1" x14ac:dyDescent="0.2">
      <c r="A6" s="21" t="s">
        <v>14</v>
      </c>
      <c r="B6" s="22">
        <v>25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2.75" customHeight="1" x14ac:dyDescent="0.2">
      <c r="A7" s="21" t="s">
        <v>19</v>
      </c>
      <c r="B7" s="22">
        <v>1463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2.75" customHeight="1" x14ac:dyDescent="0.2">
      <c r="A8" s="21" t="s">
        <v>23</v>
      </c>
      <c r="B8" s="22">
        <v>321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2.75" customHeight="1" x14ac:dyDescent="0.2">
      <c r="A9" s="21" t="s">
        <v>31</v>
      </c>
      <c r="B9" s="22">
        <v>12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2.75" customHeight="1" x14ac:dyDescent="0.2">
      <c r="A10" s="21" t="s">
        <v>36</v>
      </c>
      <c r="B10" s="22">
        <v>339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2.75" customHeight="1" x14ac:dyDescent="0.2">
      <c r="A11" s="21" t="s">
        <v>38</v>
      </c>
      <c r="B11" s="22">
        <v>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2.75" customHeight="1" x14ac:dyDescent="0.2">
      <c r="A12" s="21" t="s">
        <v>39</v>
      </c>
      <c r="B12" s="22">
        <v>22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2.75" customHeight="1" x14ac:dyDescent="0.2">
      <c r="A13" s="26" t="s">
        <v>41</v>
      </c>
      <c r="B13" s="29">
        <v>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2.75" customHeight="1" x14ac:dyDescent="0.2">
      <c r="A14" s="33" t="s">
        <v>43</v>
      </c>
      <c r="B14" s="29">
        <v>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2.75" customHeight="1" x14ac:dyDescent="0.25">
      <c r="A15" s="7" t="s">
        <v>44</v>
      </c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2.75" customHeight="1" x14ac:dyDescent="0.2">
      <c r="A16" s="41" t="s">
        <v>48</v>
      </c>
      <c r="B16" s="43">
        <v>5183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2.75" customHeight="1" x14ac:dyDescent="0.2">
      <c r="A17" s="21" t="s">
        <v>51</v>
      </c>
      <c r="B17" s="22">
        <v>4918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2.75" customHeight="1" x14ac:dyDescent="0.2">
      <c r="A18" s="21" t="s">
        <v>54</v>
      </c>
      <c r="B18" s="53">
        <f>B4-B5</f>
        <v>-265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2.75" customHeight="1" x14ac:dyDescent="0.2">
      <c r="A19" s="44"/>
      <c r="B19" s="57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2.75" customHeight="1" x14ac:dyDescent="0.25">
      <c r="A20" s="13" t="s">
        <v>69</v>
      </c>
      <c r="B20" s="67">
        <f>MEDIAN(B16,B17)</f>
        <v>5050.5</v>
      </c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</row>
    <row r="21" spans="1:22" ht="12.75" customHeight="1" x14ac:dyDescent="0.25">
      <c r="A21" s="19" t="s">
        <v>82</v>
      </c>
      <c r="B21" s="74">
        <f>B7/B20</f>
        <v>0.28967428967428965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2.75" customHeight="1" x14ac:dyDescent="0.25">
      <c r="A22" s="19" t="s">
        <v>83</v>
      </c>
      <c r="B22" s="74">
        <f>MEDIAN(B4,B5)/B20</f>
        <v>0.40877140877140877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2.75" customHeight="1" x14ac:dyDescent="0.25">
      <c r="A23" s="19" t="s">
        <v>88</v>
      </c>
      <c r="B23" s="80">
        <f>12/B22</f>
        <v>29.356260595785905</v>
      </c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</row>
    <row r="24" spans="1:22" ht="12.75" customHeight="1" x14ac:dyDescent="0.25">
      <c r="A24" s="19" t="s">
        <v>93</v>
      </c>
      <c r="B24" s="81">
        <v>360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2.75" customHeight="1" x14ac:dyDescent="0.25">
      <c r="A25" s="19" t="s">
        <v>98</v>
      </c>
      <c r="B25" s="81">
        <v>10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2.75" customHeight="1" x14ac:dyDescent="0.25">
      <c r="A26" s="13" t="s">
        <v>100</v>
      </c>
      <c r="B26" s="67">
        <v>30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2.75" customHeight="1" x14ac:dyDescent="0.25">
      <c r="A27" s="13" t="s">
        <v>104</v>
      </c>
      <c r="B27" s="67">
        <v>30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2.75" customHeight="1" x14ac:dyDescent="0.25">
      <c r="A28" s="13" t="s">
        <v>105</v>
      </c>
      <c r="B28" s="67">
        <f>30+(3*TRUNC(1/B22))</f>
        <v>36</v>
      </c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</row>
    <row r="29" spans="1:22" ht="12.75" customHeight="1" x14ac:dyDescent="0.25">
      <c r="A29" s="19" t="s">
        <v>33</v>
      </c>
      <c r="B29" s="85">
        <v>0.08</v>
      </c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</row>
    <row r="30" spans="1:22" ht="12.75" customHeight="1" x14ac:dyDescent="0.25">
      <c r="A30" s="88" t="s">
        <v>114</v>
      </c>
      <c r="B30" s="90">
        <v>0.4</v>
      </c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</row>
    <row r="31" spans="1:22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2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2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2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2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"/>
    <row r="232" spans="1:22" ht="15.75" customHeight="1" x14ac:dyDescent="0.2"/>
    <row r="233" spans="1:22" ht="15.75" customHeight="1" x14ac:dyDescent="0.2"/>
    <row r="234" spans="1:22" ht="15.75" customHeight="1" x14ac:dyDescent="0.2"/>
    <row r="235" spans="1:22" ht="15.75" customHeight="1" x14ac:dyDescent="0.2"/>
    <row r="236" spans="1:22" ht="15.75" customHeight="1" x14ac:dyDescent="0.2"/>
    <row r="237" spans="1:22" ht="15.75" customHeight="1" x14ac:dyDescent="0.2"/>
    <row r="238" spans="1:22" ht="15.75" customHeight="1" x14ac:dyDescent="0.2"/>
    <row r="239" spans="1:22" ht="15.75" customHeight="1" x14ac:dyDescent="0.2"/>
    <row r="240" spans="1:22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</sheetData>
  <mergeCells count="1">
    <mergeCell ref="A2:B2"/>
  </mergeCells>
  <pageMargins left="0.90551181102362199" right="0.51181102362204722" top="0.74803149606299213" bottom="0.74803149606299213" header="0" footer="0"/>
  <pageSetup paperSize="9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997"/>
  <sheetViews>
    <sheetView workbookViewId="0"/>
  </sheetViews>
  <sheetFormatPr defaultColWidth="12.5703125" defaultRowHeight="15" customHeight="1" x14ac:dyDescent="0.2"/>
  <cols>
    <col min="1" max="1" width="41.85546875" customWidth="1"/>
    <col min="2" max="2" width="5.5703125" customWidth="1"/>
    <col min="3" max="3" width="8.5703125" customWidth="1"/>
    <col min="4" max="4" width="9.7109375" customWidth="1"/>
    <col min="5" max="5" width="8" customWidth="1"/>
    <col min="6" max="6" width="9.7109375" customWidth="1"/>
    <col min="7" max="26" width="8.5703125" customWidth="1"/>
  </cols>
  <sheetData>
    <row r="1" spans="1:26" ht="15" customHeight="1" x14ac:dyDescent="0.2">
      <c r="A1" s="9" t="s">
        <v>3</v>
      </c>
      <c r="B1" s="11"/>
      <c r="C1" s="11"/>
      <c r="D1" s="14"/>
      <c r="E1" s="18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15" customHeight="1" x14ac:dyDescent="0.2">
      <c r="A2" s="3"/>
      <c r="B2" s="11"/>
      <c r="C2" s="11"/>
      <c r="D2" s="14"/>
      <c r="E2" s="18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15" customHeight="1" x14ac:dyDescent="0.2">
      <c r="A3" s="5" t="s">
        <v>21</v>
      </c>
      <c r="B3" s="11"/>
      <c r="C3" s="11"/>
      <c r="D3" s="14"/>
      <c r="E3" s="18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15" customHeight="1" x14ac:dyDescent="0.2">
      <c r="A4" s="14"/>
      <c r="B4" s="11"/>
      <c r="C4" s="11"/>
      <c r="D4" s="14"/>
      <c r="E4" s="18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15" customHeight="1" x14ac:dyDescent="0.2">
      <c r="A5" s="283" t="s">
        <v>34</v>
      </c>
      <c r="B5" s="271"/>
      <c r="C5" s="271"/>
      <c r="D5" s="271"/>
      <c r="E5" s="271"/>
      <c r="F5" s="272"/>
    </row>
    <row r="6" spans="1:26" ht="15" customHeight="1" x14ac:dyDescent="0.2">
      <c r="A6" s="27"/>
      <c r="B6" s="28"/>
      <c r="C6" s="28"/>
      <c r="D6" s="28"/>
      <c r="E6" s="28"/>
      <c r="F6" s="30"/>
    </row>
    <row r="7" spans="1:26" ht="15" customHeight="1" x14ac:dyDescent="0.25">
      <c r="A7" s="34"/>
      <c r="B7" s="11"/>
      <c r="C7" s="11"/>
      <c r="D7" s="284" t="s">
        <v>45</v>
      </c>
      <c r="E7" s="280"/>
      <c r="F7" s="281"/>
      <c r="G7" s="14"/>
      <c r="H7" s="14"/>
    </row>
    <row r="8" spans="1:26" ht="15" customHeight="1" x14ac:dyDescent="0.2">
      <c r="A8" s="44"/>
      <c r="B8" s="14"/>
      <c r="C8" s="14"/>
      <c r="D8" s="47" t="s">
        <v>52</v>
      </c>
      <c r="E8" s="48" t="s">
        <v>55</v>
      </c>
      <c r="F8" s="51" t="s">
        <v>58</v>
      </c>
      <c r="G8" s="14"/>
      <c r="H8" s="14"/>
    </row>
    <row r="9" spans="1:26" ht="15" customHeight="1" x14ac:dyDescent="0.2">
      <c r="A9" s="54" t="s">
        <v>61</v>
      </c>
      <c r="B9" s="56" t="s">
        <v>64</v>
      </c>
      <c r="C9" s="58">
        <v>0.02</v>
      </c>
      <c r="D9" s="59">
        <v>2.9700000000000001E-2</v>
      </c>
      <c r="E9" s="61">
        <v>5.0799999999999998E-2</v>
      </c>
      <c r="F9" s="63">
        <v>6.2700000000000006E-2</v>
      </c>
      <c r="G9" s="14"/>
      <c r="H9" s="14"/>
    </row>
    <row r="10" spans="1:26" ht="15" customHeight="1" x14ac:dyDescent="0.2">
      <c r="A10" s="66" t="s">
        <v>74</v>
      </c>
      <c r="B10" s="68" t="s">
        <v>77</v>
      </c>
      <c r="C10" s="70">
        <v>0.01</v>
      </c>
      <c r="D10" s="59">
        <f>0.3%+0.56%</f>
        <v>8.6E-3</v>
      </c>
      <c r="E10" s="61">
        <f>0.48%+0.85%</f>
        <v>1.3299999999999999E-2</v>
      </c>
      <c r="F10" s="63">
        <f>0.82%+0.89%</f>
        <v>1.7099999999999997E-2</v>
      </c>
      <c r="G10" s="14"/>
      <c r="H10" s="14"/>
    </row>
    <row r="11" spans="1:26" ht="15" customHeight="1" x14ac:dyDescent="0.2">
      <c r="A11" s="66" t="s">
        <v>94</v>
      </c>
      <c r="B11" s="68" t="s">
        <v>96</v>
      </c>
      <c r="C11" s="70">
        <v>0.1</v>
      </c>
      <c r="D11" s="59">
        <v>7.7799999999999994E-2</v>
      </c>
      <c r="E11" s="61">
        <v>0.1085</v>
      </c>
      <c r="F11" s="63">
        <v>0.13550000000000001</v>
      </c>
      <c r="G11" s="14"/>
      <c r="H11" s="14"/>
    </row>
    <row r="12" spans="1:26" ht="15" customHeight="1" x14ac:dyDescent="0.2">
      <c r="A12" s="66" t="s">
        <v>101</v>
      </c>
      <c r="B12" s="68" t="s">
        <v>103</v>
      </c>
      <c r="C12" s="82">
        <v>0</v>
      </c>
      <c r="D12" s="59" t="s">
        <v>106</v>
      </c>
      <c r="E12" s="83">
        <v>0.13750000000000001</v>
      </c>
      <c r="F12" s="84"/>
      <c r="G12" s="14"/>
      <c r="H12" s="14"/>
    </row>
    <row r="13" spans="1:26" ht="15" customHeight="1" x14ac:dyDescent="0.2">
      <c r="A13" s="66" t="s">
        <v>109</v>
      </c>
      <c r="B13" s="285" t="s">
        <v>110</v>
      </c>
      <c r="C13" s="70">
        <v>0.04</v>
      </c>
      <c r="D13" s="87" t="s">
        <v>113</v>
      </c>
      <c r="E13" s="89">
        <v>12</v>
      </c>
      <c r="F13" s="53"/>
      <c r="G13" s="14"/>
      <c r="H13" s="14"/>
    </row>
    <row r="14" spans="1:26" ht="15" customHeight="1" x14ac:dyDescent="0.2">
      <c r="A14" s="91" t="s">
        <v>115</v>
      </c>
      <c r="B14" s="286"/>
      <c r="C14" s="92">
        <v>0.11</v>
      </c>
      <c r="D14" s="21"/>
      <c r="E14" s="95"/>
      <c r="F14" s="53"/>
      <c r="G14" s="14"/>
      <c r="H14" s="14"/>
    </row>
    <row r="15" spans="1:26" ht="15" customHeight="1" x14ac:dyDescent="0.2">
      <c r="A15" s="97" t="s">
        <v>119</v>
      </c>
      <c r="B15" s="98"/>
      <c r="C15" s="99"/>
      <c r="D15" s="21"/>
      <c r="E15" s="95"/>
      <c r="F15" s="53"/>
      <c r="G15" s="14"/>
      <c r="H15" s="14"/>
    </row>
    <row r="16" spans="1:26" ht="15" customHeight="1" x14ac:dyDescent="0.2">
      <c r="A16" s="101" t="s">
        <v>120</v>
      </c>
      <c r="B16" s="102"/>
      <c r="C16" s="105"/>
      <c r="D16" s="21"/>
      <c r="E16" s="95"/>
      <c r="F16" s="53"/>
      <c r="G16" s="14"/>
      <c r="H16" s="14"/>
    </row>
    <row r="17" spans="1:8" ht="15" customHeight="1" x14ac:dyDescent="0.2">
      <c r="A17" s="107" t="s">
        <v>121</v>
      </c>
      <c r="B17" s="110"/>
      <c r="C17" s="116">
        <f>ROUND((((1+C9+C10)*(1+C11)*(1+C12))/(1-(C13+C14))-1),4)</f>
        <v>0.33289999999999997</v>
      </c>
      <c r="D17" s="118">
        <v>0.21429999999999999</v>
      </c>
      <c r="E17" s="119">
        <v>0.2717</v>
      </c>
      <c r="F17" s="120">
        <v>0.3362</v>
      </c>
      <c r="G17" s="14"/>
      <c r="H17" s="14"/>
    </row>
    <row r="18" spans="1:8" ht="12.75" customHeight="1" x14ac:dyDescent="0.2">
      <c r="A18" s="14"/>
      <c r="B18" s="14"/>
      <c r="C18" s="14"/>
      <c r="D18" s="14"/>
      <c r="E18" s="18"/>
      <c r="F18" s="14"/>
      <c r="G18" s="14"/>
      <c r="H18" s="14"/>
    </row>
    <row r="19" spans="1:8" ht="12.75" customHeight="1" x14ac:dyDescent="0.2">
      <c r="A19" s="14"/>
      <c r="B19" s="14"/>
      <c r="C19" s="14"/>
      <c r="D19" s="14"/>
      <c r="E19" s="18"/>
      <c r="F19" s="14"/>
      <c r="G19" s="14"/>
      <c r="H19" s="14"/>
    </row>
    <row r="20" spans="1:8" ht="12.75" customHeight="1" x14ac:dyDescent="0.2">
      <c r="A20" s="14"/>
      <c r="B20" s="14"/>
      <c r="C20" s="14"/>
      <c r="D20" s="14"/>
      <c r="E20" s="18"/>
      <c r="F20" s="14"/>
      <c r="G20" s="14"/>
      <c r="H20" s="14"/>
    </row>
    <row r="21" spans="1:8" ht="12.75" customHeight="1" x14ac:dyDescent="0.2">
      <c r="A21" s="14"/>
      <c r="B21" s="14"/>
      <c r="C21" s="14"/>
      <c r="D21" s="14"/>
      <c r="E21" s="18"/>
      <c r="F21" s="14"/>
      <c r="G21" s="14"/>
      <c r="H21" s="14"/>
    </row>
    <row r="22" spans="1:8" ht="12.75" customHeight="1" x14ac:dyDescent="0.2">
      <c r="E22" s="122"/>
    </row>
    <row r="23" spans="1:8" ht="12.75" customHeight="1" x14ac:dyDescent="0.2">
      <c r="E23" s="122"/>
    </row>
    <row r="24" spans="1:8" ht="12.75" customHeight="1" x14ac:dyDescent="0.2">
      <c r="E24" s="122"/>
    </row>
    <row r="25" spans="1:8" ht="12.75" customHeight="1" x14ac:dyDescent="0.2">
      <c r="E25" s="122"/>
    </row>
    <row r="26" spans="1:8" ht="12.75" customHeight="1" x14ac:dyDescent="0.2">
      <c r="E26" s="122"/>
    </row>
    <row r="27" spans="1:8" ht="12.75" customHeight="1" x14ac:dyDescent="0.2">
      <c r="E27" s="122"/>
    </row>
    <row r="28" spans="1:8" ht="12.75" customHeight="1" x14ac:dyDescent="0.2">
      <c r="E28" s="122"/>
    </row>
    <row r="29" spans="1:8" ht="12.75" customHeight="1" x14ac:dyDescent="0.2">
      <c r="E29" s="122"/>
    </row>
    <row r="30" spans="1:8" ht="12.75" customHeight="1" x14ac:dyDescent="0.2">
      <c r="E30" s="122"/>
    </row>
    <row r="31" spans="1:8" ht="12.75" customHeight="1" x14ac:dyDescent="0.2">
      <c r="E31" s="122"/>
    </row>
    <row r="32" spans="1:8" ht="12.75" customHeight="1" x14ac:dyDescent="0.2">
      <c r="E32" s="122"/>
    </row>
    <row r="33" spans="5:5" ht="12.75" customHeight="1" x14ac:dyDescent="0.2">
      <c r="E33" s="122"/>
    </row>
    <row r="34" spans="5:5" ht="12.75" customHeight="1" x14ac:dyDescent="0.2">
      <c r="E34" s="122"/>
    </row>
    <row r="35" spans="5:5" ht="12.75" customHeight="1" x14ac:dyDescent="0.2">
      <c r="E35" s="122"/>
    </row>
    <row r="36" spans="5:5" ht="12.75" customHeight="1" x14ac:dyDescent="0.2">
      <c r="E36" s="122"/>
    </row>
    <row r="37" spans="5:5" ht="12.75" customHeight="1" x14ac:dyDescent="0.2">
      <c r="E37" s="122"/>
    </row>
    <row r="38" spans="5:5" ht="12.75" customHeight="1" x14ac:dyDescent="0.2">
      <c r="E38" s="122"/>
    </row>
    <row r="39" spans="5:5" ht="12.75" customHeight="1" x14ac:dyDescent="0.2">
      <c r="E39" s="122"/>
    </row>
    <row r="40" spans="5:5" ht="12.75" customHeight="1" x14ac:dyDescent="0.2">
      <c r="E40" s="122"/>
    </row>
    <row r="41" spans="5:5" ht="12.75" customHeight="1" x14ac:dyDescent="0.2">
      <c r="E41" s="122"/>
    </row>
    <row r="42" spans="5:5" ht="12.75" customHeight="1" x14ac:dyDescent="0.2">
      <c r="E42" s="122"/>
    </row>
    <row r="43" spans="5:5" ht="12.75" customHeight="1" x14ac:dyDescent="0.2">
      <c r="E43" s="122"/>
    </row>
    <row r="44" spans="5:5" ht="12.75" customHeight="1" x14ac:dyDescent="0.2">
      <c r="E44" s="122"/>
    </row>
    <row r="45" spans="5:5" ht="12.75" customHeight="1" x14ac:dyDescent="0.2">
      <c r="E45" s="122"/>
    </row>
    <row r="46" spans="5:5" ht="12.75" customHeight="1" x14ac:dyDescent="0.2">
      <c r="E46" s="122"/>
    </row>
    <row r="47" spans="5:5" ht="12.75" customHeight="1" x14ac:dyDescent="0.2">
      <c r="E47" s="122"/>
    </row>
    <row r="48" spans="5:5" ht="12.75" customHeight="1" x14ac:dyDescent="0.2">
      <c r="E48" s="122"/>
    </row>
    <row r="49" spans="5:5" ht="12.75" customHeight="1" x14ac:dyDescent="0.2">
      <c r="E49" s="122"/>
    </row>
    <row r="50" spans="5:5" ht="12.75" customHeight="1" x14ac:dyDescent="0.2">
      <c r="E50" s="122"/>
    </row>
    <row r="51" spans="5:5" ht="12.75" customHeight="1" x14ac:dyDescent="0.2">
      <c r="E51" s="122"/>
    </row>
    <row r="52" spans="5:5" ht="12.75" customHeight="1" x14ac:dyDescent="0.2">
      <c r="E52" s="122"/>
    </row>
    <row r="53" spans="5:5" ht="12.75" customHeight="1" x14ac:dyDescent="0.2">
      <c r="E53" s="122"/>
    </row>
    <row r="54" spans="5:5" ht="12.75" customHeight="1" x14ac:dyDescent="0.2">
      <c r="E54" s="122"/>
    </row>
    <row r="55" spans="5:5" ht="12.75" customHeight="1" x14ac:dyDescent="0.2">
      <c r="E55" s="122"/>
    </row>
    <row r="56" spans="5:5" ht="12.75" customHeight="1" x14ac:dyDescent="0.2">
      <c r="E56" s="122"/>
    </row>
    <row r="57" spans="5:5" ht="12.75" customHeight="1" x14ac:dyDescent="0.2">
      <c r="E57" s="122"/>
    </row>
    <row r="58" spans="5:5" ht="12.75" customHeight="1" x14ac:dyDescent="0.2">
      <c r="E58" s="122"/>
    </row>
    <row r="59" spans="5:5" ht="12.75" customHeight="1" x14ac:dyDescent="0.2">
      <c r="E59" s="122"/>
    </row>
    <row r="60" spans="5:5" ht="12.75" customHeight="1" x14ac:dyDescent="0.2">
      <c r="E60" s="122"/>
    </row>
    <row r="61" spans="5:5" ht="12.75" customHeight="1" x14ac:dyDescent="0.2">
      <c r="E61" s="122"/>
    </row>
    <row r="62" spans="5:5" ht="12.75" customHeight="1" x14ac:dyDescent="0.2">
      <c r="E62" s="122"/>
    </row>
    <row r="63" spans="5:5" ht="12.75" customHeight="1" x14ac:dyDescent="0.2">
      <c r="E63" s="122"/>
    </row>
    <row r="64" spans="5:5" ht="12.75" customHeight="1" x14ac:dyDescent="0.2">
      <c r="E64" s="122"/>
    </row>
    <row r="65" spans="5:5" ht="12.75" customHeight="1" x14ac:dyDescent="0.2">
      <c r="E65" s="122"/>
    </row>
    <row r="66" spans="5:5" ht="12.75" customHeight="1" x14ac:dyDescent="0.2">
      <c r="E66" s="122"/>
    </row>
    <row r="67" spans="5:5" ht="12.75" customHeight="1" x14ac:dyDescent="0.2">
      <c r="E67" s="122"/>
    </row>
    <row r="68" spans="5:5" ht="12.75" customHeight="1" x14ac:dyDescent="0.2">
      <c r="E68" s="122"/>
    </row>
    <row r="69" spans="5:5" ht="12.75" customHeight="1" x14ac:dyDescent="0.2">
      <c r="E69" s="122"/>
    </row>
    <row r="70" spans="5:5" ht="12.75" customHeight="1" x14ac:dyDescent="0.2">
      <c r="E70" s="122"/>
    </row>
    <row r="71" spans="5:5" ht="12.75" customHeight="1" x14ac:dyDescent="0.2">
      <c r="E71" s="122"/>
    </row>
    <row r="72" spans="5:5" ht="12.75" customHeight="1" x14ac:dyDescent="0.2">
      <c r="E72" s="122"/>
    </row>
    <row r="73" spans="5:5" ht="12.75" customHeight="1" x14ac:dyDescent="0.2">
      <c r="E73" s="122"/>
    </row>
    <row r="74" spans="5:5" ht="12.75" customHeight="1" x14ac:dyDescent="0.2">
      <c r="E74" s="122"/>
    </row>
    <row r="75" spans="5:5" ht="12.75" customHeight="1" x14ac:dyDescent="0.2">
      <c r="E75" s="122"/>
    </row>
    <row r="76" spans="5:5" ht="12.75" customHeight="1" x14ac:dyDescent="0.2">
      <c r="E76" s="122"/>
    </row>
    <row r="77" spans="5:5" ht="12.75" customHeight="1" x14ac:dyDescent="0.2">
      <c r="E77" s="122"/>
    </row>
    <row r="78" spans="5:5" ht="12.75" customHeight="1" x14ac:dyDescent="0.2">
      <c r="E78" s="122"/>
    </row>
    <row r="79" spans="5:5" ht="12.75" customHeight="1" x14ac:dyDescent="0.2">
      <c r="E79" s="122"/>
    </row>
    <row r="80" spans="5:5" ht="12.75" customHeight="1" x14ac:dyDescent="0.2">
      <c r="E80" s="122"/>
    </row>
    <row r="81" spans="5:5" ht="12.75" customHeight="1" x14ac:dyDescent="0.2">
      <c r="E81" s="122"/>
    </row>
    <row r="82" spans="5:5" ht="12.75" customHeight="1" x14ac:dyDescent="0.2">
      <c r="E82" s="122"/>
    </row>
    <row r="83" spans="5:5" ht="12.75" customHeight="1" x14ac:dyDescent="0.2">
      <c r="E83" s="122"/>
    </row>
    <row r="84" spans="5:5" ht="12.75" customHeight="1" x14ac:dyDescent="0.2">
      <c r="E84" s="122"/>
    </row>
    <row r="85" spans="5:5" ht="12.75" customHeight="1" x14ac:dyDescent="0.2">
      <c r="E85" s="122"/>
    </row>
    <row r="86" spans="5:5" ht="12.75" customHeight="1" x14ac:dyDescent="0.2">
      <c r="E86" s="122"/>
    </row>
    <row r="87" spans="5:5" ht="12.75" customHeight="1" x14ac:dyDescent="0.2">
      <c r="E87" s="122"/>
    </row>
    <row r="88" spans="5:5" ht="12.75" customHeight="1" x14ac:dyDescent="0.2">
      <c r="E88" s="122"/>
    </row>
    <row r="89" spans="5:5" ht="12.75" customHeight="1" x14ac:dyDescent="0.2">
      <c r="E89" s="122"/>
    </row>
    <row r="90" spans="5:5" ht="12.75" customHeight="1" x14ac:dyDescent="0.2">
      <c r="E90" s="122"/>
    </row>
    <row r="91" spans="5:5" ht="12.75" customHeight="1" x14ac:dyDescent="0.2">
      <c r="E91" s="122"/>
    </row>
    <row r="92" spans="5:5" ht="12.75" customHeight="1" x14ac:dyDescent="0.2">
      <c r="E92" s="122"/>
    </row>
    <row r="93" spans="5:5" ht="12.75" customHeight="1" x14ac:dyDescent="0.2">
      <c r="E93" s="122"/>
    </row>
    <row r="94" spans="5:5" ht="12.75" customHeight="1" x14ac:dyDescent="0.2">
      <c r="E94" s="122"/>
    </row>
    <row r="95" spans="5:5" ht="12.75" customHeight="1" x14ac:dyDescent="0.2">
      <c r="E95" s="122"/>
    </row>
    <row r="96" spans="5:5" ht="12.75" customHeight="1" x14ac:dyDescent="0.2">
      <c r="E96" s="122"/>
    </row>
    <row r="97" spans="5:5" ht="12.75" customHeight="1" x14ac:dyDescent="0.2">
      <c r="E97" s="122"/>
    </row>
    <row r="98" spans="5:5" ht="12.75" customHeight="1" x14ac:dyDescent="0.2">
      <c r="E98" s="122"/>
    </row>
    <row r="99" spans="5:5" ht="12.75" customHeight="1" x14ac:dyDescent="0.2">
      <c r="E99" s="122"/>
    </row>
    <row r="100" spans="5:5" ht="12.75" customHeight="1" x14ac:dyDescent="0.2">
      <c r="E100" s="122"/>
    </row>
    <row r="101" spans="5:5" ht="12.75" customHeight="1" x14ac:dyDescent="0.2">
      <c r="E101" s="122"/>
    </row>
    <row r="102" spans="5:5" ht="12.75" customHeight="1" x14ac:dyDescent="0.2">
      <c r="E102" s="122"/>
    </row>
    <row r="103" spans="5:5" ht="12.75" customHeight="1" x14ac:dyDescent="0.2">
      <c r="E103" s="122"/>
    </row>
    <row r="104" spans="5:5" ht="12.75" customHeight="1" x14ac:dyDescent="0.2">
      <c r="E104" s="122"/>
    </row>
    <row r="105" spans="5:5" ht="12.75" customHeight="1" x14ac:dyDescent="0.2">
      <c r="E105" s="122"/>
    </row>
    <row r="106" spans="5:5" ht="12.75" customHeight="1" x14ac:dyDescent="0.2">
      <c r="E106" s="122"/>
    </row>
    <row r="107" spans="5:5" ht="12.75" customHeight="1" x14ac:dyDescent="0.2">
      <c r="E107" s="122"/>
    </row>
    <row r="108" spans="5:5" ht="12.75" customHeight="1" x14ac:dyDescent="0.2">
      <c r="E108" s="122"/>
    </row>
    <row r="109" spans="5:5" ht="12.75" customHeight="1" x14ac:dyDescent="0.2">
      <c r="E109" s="122"/>
    </row>
    <row r="110" spans="5:5" ht="12.75" customHeight="1" x14ac:dyDescent="0.2">
      <c r="E110" s="122"/>
    </row>
    <row r="111" spans="5:5" ht="12.75" customHeight="1" x14ac:dyDescent="0.2">
      <c r="E111" s="122"/>
    </row>
    <row r="112" spans="5:5" ht="12.75" customHeight="1" x14ac:dyDescent="0.2">
      <c r="E112" s="122"/>
    </row>
    <row r="113" spans="5:5" ht="12.75" customHeight="1" x14ac:dyDescent="0.2">
      <c r="E113" s="122"/>
    </row>
    <row r="114" spans="5:5" ht="12.75" customHeight="1" x14ac:dyDescent="0.2">
      <c r="E114" s="122"/>
    </row>
    <row r="115" spans="5:5" ht="12.75" customHeight="1" x14ac:dyDescent="0.2">
      <c r="E115" s="122"/>
    </row>
    <row r="116" spans="5:5" ht="12.75" customHeight="1" x14ac:dyDescent="0.2">
      <c r="E116" s="122"/>
    </row>
    <row r="117" spans="5:5" ht="12.75" customHeight="1" x14ac:dyDescent="0.2">
      <c r="E117" s="122"/>
    </row>
    <row r="118" spans="5:5" ht="12.75" customHeight="1" x14ac:dyDescent="0.2">
      <c r="E118" s="122"/>
    </row>
    <row r="119" spans="5:5" ht="12.75" customHeight="1" x14ac:dyDescent="0.2">
      <c r="E119" s="122"/>
    </row>
    <row r="120" spans="5:5" ht="12.75" customHeight="1" x14ac:dyDescent="0.2">
      <c r="E120" s="122"/>
    </row>
    <row r="121" spans="5:5" ht="12.75" customHeight="1" x14ac:dyDescent="0.2">
      <c r="E121" s="122"/>
    </row>
    <row r="122" spans="5:5" ht="12.75" customHeight="1" x14ac:dyDescent="0.2">
      <c r="E122" s="122"/>
    </row>
    <row r="123" spans="5:5" ht="12.75" customHeight="1" x14ac:dyDescent="0.2">
      <c r="E123" s="122"/>
    </row>
    <row r="124" spans="5:5" ht="12.75" customHeight="1" x14ac:dyDescent="0.2">
      <c r="E124" s="122"/>
    </row>
    <row r="125" spans="5:5" ht="12.75" customHeight="1" x14ac:dyDescent="0.2">
      <c r="E125" s="122"/>
    </row>
    <row r="126" spans="5:5" ht="12.75" customHeight="1" x14ac:dyDescent="0.2">
      <c r="E126" s="122"/>
    </row>
    <row r="127" spans="5:5" ht="12.75" customHeight="1" x14ac:dyDescent="0.2">
      <c r="E127" s="122"/>
    </row>
    <row r="128" spans="5:5" ht="12.75" customHeight="1" x14ac:dyDescent="0.2">
      <c r="E128" s="122"/>
    </row>
    <row r="129" spans="5:5" ht="12.75" customHeight="1" x14ac:dyDescent="0.2">
      <c r="E129" s="122"/>
    </row>
    <row r="130" spans="5:5" ht="12.75" customHeight="1" x14ac:dyDescent="0.2">
      <c r="E130" s="122"/>
    </row>
    <row r="131" spans="5:5" ht="12.75" customHeight="1" x14ac:dyDescent="0.2">
      <c r="E131" s="122"/>
    </row>
    <row r="132" spans="5:5" ht="12.75" customHeight="1" x14ac:dyDescent="0.2">
      <c r="E132" s="122"/>
    </row>
    <row r="133" spans="5:5" ht="12.75" customHeight="1" x14ac:dyDescent="0.2">
      <c r="E133" s="122"/>
    </row>
    <row r="134" spans="5:5" ht="12.75" customHeight="1" x14ac:dyDescent="0.2">
      <c r="E134" s="122"/>
    </row>
    <row r="135" spans="5:5" ht="12.75" customHeight="1" x14ac:dyDescent="0.2">
      <c r="E135" s="122"/>
    </row>
    <row r="136" spans="5:5" ht="12.75" customHeight="1" x14ac:dyDescent="0.2">
      <c r="E136" s="122"/>
    </row>
    <row r="137" spans="5:5" ht="12.75" customHeight="1" x14ac:dyDescent="0.2">
      <c r="E137" s="122"/>
    </row>
    <row r="138" spans="5:5" ht="12.75" customHeight="1" x14ac:dyDescent="0.2">
      <c r="E138" s="122"/>
    </row>
    <row r="139" spans="5:5" ht="12.75" customHeight="1" x14ac:dyDescent="0.2">
      <c r="E139" s="122"/>
    </row>
    <row r="140" spans="5:5" ht="12.75" customHeight="1" x14ac:dyDescent="0.2">
      <c r="E140" s="122"/>
    </row>
    <row r="141" spans="5:5" ht="12.75" customHeight="1" x14ac:dyDescent="0.2">
      <c r="E141" s="122"/>
    </row>
    <row r="142" spans="5:5" ht="12.75" customHeight="1" x14ac:dyDescent="0.2">
      <c r="E142" s="122"/>
    </row>
    <row r="143" spans="5:5" ht="12.75" customHeight="1" x14ac:dyDescent="0.2">
      <c r="E143" s="122"/>
    </row>
    <row r="144" spans="5:5" ht="12.75" customHeight="1" x14ac:dyDescent="0.2">
      <c r="E144" s="122"/>
    </row>
    <row r="145" spans="5:5" ht="12.75" customHeight="1" x14ac:dyDescent="0.2">
      <c r="E145" s="122"/>
    </row>
    <row r="146" spans="5:5" ht="12.75" customHeight="1" x14ac:dyDescent="0.2">
      <c r="E146" s="122"/>
    </row>
    <row r="147" spans="5:5" ht="12.75" customHeight="1" x14ac:dyDescent="0.2">
      <c r="E147" s="122"/>
    </row>
    <row r="148" spans="5:5" ht="12.75" customHeight="1" x14ac:dyDescent="0.2">
      <c r="E148" s="122"/>
    </row>
    <row r="149" spans="5:5" ht="12.75" customHeight="1" x14ac:dyDescent="0.2">
      <c r="E149" s="122"/>
    </row>
    <row r="150" spans="5:5" ht="12.75" customHeight="1" x14ac:dyDescent="0.2">
      <c r="E150" s="122"/>
    </row>
    <row r="151" spans="5:5" ht="12.75" customHeight="1" x14ac:dyDescent="0.2">
      <c r="E151" s="122"/>
    </row>
    <row r="152" spans="5:5" ht="12.75" customHeight="1" x14ac:dyDescent="0.2">
      <c r="E152" s="122"/>
    </row>
    <row r="153" spans="5:5" ht="12.75" customHeight="1" x14ac:dyDescent="0.2">
      <c r="E153" s="122"/>
    </row>
    <row r="154" spans="5:5" ht="12.75" customHeight="1" x14ac:dyDescent="0.2">
      <c r="E154" s="122"/>
    </row>
    <row r="155" spans="5:5" ht="12.75" customHeight="1" x14ac:dyDescent="0.2">
      <c r="E155" s="122"/>
    </row>
    <row r="156" spans="5:5" ht="12.75" customHeight="1" x14ac:dyDescent="0.2">
      <c r="E156" s="122"/>
    </row>
    <row r="157" spans="5:5" ht="12.75" customHeight="1" x14ac:dyDescent="0.2">
      <c r="E157" s="122"/>
    </row>
    <row r="158" spans="5:5" ht="12.75" customHeight="1" x14ac:dyDescent="0.2">
      <c r="E158" s="122"/>
    </row>
    <row r="159" spans="5:5" ht="12.75" customHeight="1" x14ac:dyDescent="0.2">
      <c r="E159" s="122"/>
    </row>
    <row r="160" spans="5:5" ht="12.75" customHeight="1" x14ac:dyDescent="0.2">
      <c r="E160" s="122"/>
    </row>
    <row r="161" spans="5:5" ht="12.75" customHeight="1" x14ac:dyDescent="0.2">
      <c r="E161" s="122"/>
    </row>
    <row r="162" spans="5:5" ht="12.75" customHeight="1" x14ac:dyDescent="0.2">
      <c r="E162" s="122"/>
    </row>
    <row r="163" spans="5:5" ht="12.75" customHeight="1" x14ac:dyDescent="0.2">
      <c r="E163" s="122"/>
    </row>
    <row r="164" spans="5:5" ht="12.75" customHeight="1" x14ac:dyDescent="0.2">
      <c r="E164" s="122"/>
    </row>
    <row r="165" spans="5:5" ht="12.75" customHeight="1" x14ac:dyDescent="0.2">
      <c r="E165" s="122"/>
    </row>
    <row r="166" spans="5:5" ht="12.75" customHeight="1" x14ac:dyDescent="0.2">
      <c r="E166" s="122"/>
    </row>
    <row r="167" spans="5:5" ht="12.75" customHeight="1" x14ac:dyDescent="0.2">
      <c r="E167" s="122"/>
    </row>
    <row r="168" spans="5:5" ht="12.75" customHeight="1" x14ac:dyDescent="0.2">
      <c r="E168" s="122"/>
    </row>
    <row r="169" spans="5:5" ht="12.75" customHeight="1" x14ac:dyDescent="0.2">
      <c r="E169" s="122"/>
    </row>
    <row r="170" spans="5:5" ht="12.75" customHeight="1" x14ac:dyDescent="0.2">
      <c r="E170" s="122"/>
    </row>
    <row r="171" spans="5:5" ht="12.75" customHeight="1" x14ac:dyDescent="0.2">
      <c r="E171" s="122"/>
    </row>
    <row r="172" spans="5:5" ht="12.75" customHeight="1" x14ac:dyDescent="0.2">
      <c r="E172" s="122"/>
    </row>
    <row r="173" spans="5:5" ht="12.75" customHeight="1" x14ac:dyDescent="0.2">
      <c r="E173" s="122"/>
    </row>
    <row r="174" spans="5:5" ht="12.75" customHeight="1" x14ac:dyDescent="0.2">
      <c r="E174" s="122"/>
    </row>
    <row r="175" spans="5:5" ht="12.75" customHeight="1" x14ac:dyDescent="0.2">
      <c r="E175" s="122"/>
    </row>
    <row r="176" spans="5:5" ht="12.75" customHeight="1" x14ac:dyDescent="0.2">
      <c r="E176" s="122"/>
    </row>
    <row r="177" spans="5:5" ht="12.75" customHeight="1" x14ac:dyDescent="0.2">
      <c r="E177" s="122"/>
    </row>
    <row r="178" spans="5:5" ht="12.75" customHeight="1" x14ac:dyDescent="0.2">
      <c r="E178" s="122"/>
    </row>
    <row r="179" spans="5:5" ht="12.75" customHeight="1" x14ac:dyDescent="0.2">
      <c r="E179" s="122"/>
    </row>
    <row r="180" spans="5:5" ht="12.75" customHeight="1" x14ac:dyDescent="0.2">
      <c r="E180" s="122"/>
    </row>
    <row r="181" spans="5:5" ht="12.75" customHeight="1" x14ac:dyDescent="0.2">
      <c r="E181" s="122"/>
    </row>
    <row r="182" spans="5:5" ht="12.75" customHeight="1" x14ac:dyDescent="0.2">
      <c r="E182" s="122"/>
    </row>
    <row r="183" spans="5:5" ht="12.75" customHeight="1" x14ac:dyDescent="0.2">
      <c r="E183" s="122"/>
    </row>
    <row r="184" spans="5:5" ht="12.75" customHeight="1" x14ac:dyDescent="0.2">
      <c r="E184" s="122"/>
    </row>
    <row r="185" spans="5:5" ht="12.75" customHeight="1" x14ac:dyDescent="0.2">
      <c r="E185" s="122"/>
    </row>
    <row r="186" spans="5:5" ht="12.75" customHeight="1" x14ac:dyDescent="0.2">
      <c r="E186" s="122"/>
    </row>
    <row r="187" spans="5:5" ht="12.75" customHeight="1" x14ac:dyDescent="0.2">
      <c r="E187" s="122"/>
    </row>
    <row r="188" spans="5:5" ht="12.75" customHeight="1" x14ac:dyDescent="0.2">
      <c r="E188" s="122"/>
    </row>
    <row r="189" spans="5:5" ht="12.75" customHeight="1" x14ac:dyDescent="0.2">
      <c r="E189" s="122"/>
    </row>
    <row r="190" spans="5:5" ht="12.75" customHeight="1" x14ac:dyDescent="0.2">
      <c r="E190" s="122"/>
    </row>
    <row r="191" spans="5:5" ht="12.75" customHeight="1" x14ac:dyDescent="0.2">
      <c r="E191" s="122"/>
    </row>
    <row r="192" spans="5:5" ht="12.75" customHeight="1" x14ac:dyDescent="0.2">
      <c r="E192" s="122"/>
    </row>
    <row r="193" spans="5:5" ht="12.75" customHeight="1" x14ac:dyDescent="0.2">
      <c r="E193" s="122"/>
    </row>
    <row r="194" spans="5:5" ht="12.75" customHeight="1" x14ac:dyDescent="0.2">
      <c r="E194" s="122"/>
    </row>
    <row r="195" spans="5:5" ht="12.75" customHeight="1" x14ac:dyDescent="0.2">
      <c r="E195" s="122"/>
    </row>
    <row r="196" spans="5:5" ht="12.75" customHeight="1" x14ac:dyDescent="0.2">
      <c r="E196" s="122"/>
    </row>
    <row r="197" spans="5:5" ht="12.75" customHeight="1" x14ac:dyDescent="0.2">
      <c r="E197" s="122"/>
    </row>
    <row r="198" spans="5:5" ht="12.75" customHeight="1" x14ac:dyDescent="0.2">
      <c r="E198" s="122"/>
    </row>
    <row r="199" spans="5:5" ht="12.75" customHeight="1" x14ac:dyDescent="0.2">
      <c r="E199" s="122"/>
    </row>
    <row r="200" spans="5:5" ht="12.75" customHeight="1" x14ac:dyDescent="0.2">
      <c r="E200" s="122"/>
    </row>
    <row r="201" spans="5:5" ht="12.75" customHeight="1" x14ac:dyDescent="0.2">
      <c r="E201" s="122"/>
    </row>
    <row r="202" spans="5:5" ht="12.75" customHeight="1" x14ac:dyDescent="0.2">
      <c r="E202" s="122"/>
    </row>
    <row r="203" spans="5:5" ht="12.75" customHeight="1" x14ac:dyDescent="0.2">
      <c r="E203" s="122"/>
    </row>
    <row r="204" spans="5:5" ht="12.75" customHeight="1" x14ac:dyDescent="0.2">
      <c r="E204" s="122"/>
    </row>
    <row r="205" spans="5:5" ht="12.75" customHeight="1" x14ac:dyDescent="0.2">
      <c r="E205" s="122"/>
    </row>
    <row r="206" spans="5:5" ht="12.75" customHeight="1" x14ac:dyDescent="0.2">
      <c r="E206" s="122"/>
    </row>
    <row r="207" spans="5:5" ht="12.75" customHeight="1" x14ac:dyDescent="0.2">
      <c r="E207" s="122"/>
    </row>
    <row r="208" spans="5:5" ht="12.75" customHeight="1" x14ac:dyDescent="0.2">
      <c r="E208" s="122"/>
    </row>
    <row r="209" spans="5:5" ht="12.75" customHeight="1" x14ac:dyDescent="0.2">
      <c r="E209" s="122"/>
    </row>
    <row r="210" spans="5:5" ht="12.75" customHeight="1" x14ac:dyDescent="0.2">
      <c r="E210" s="122"/>
    </row>
    <row r="211" spans="5:5" ht="12.75" customHeight="1" x14ac:dyDescent="0.2">
      <c r="E211" s="122"/>
    </row>
    <row r="212" spans="5:5" ht="12.75" customHeight="1" x14ac:dyDescent="0.2">
      <c r="E212" s="122"/>
    </row>
    <row r="213" spans="5:5" ht="12.75" customHeight="1" x14ac:dyDescent="0.2">
      <c r="E213" s="122"/>
    </row>
    <row r="214" spans="5:5" ht="12.75" customHeight="1" x14ac:dyDescent="0.2">
      <c r="E214" s="122"/>
    </row>
    <row r="215" spans="5:5" ht="12.75" customHeight="1" x14ac:dyDescent="0.2">
      <c r="E215" s="122"/>
    </row>
    <row r="216" spans="5:5" ht="12.75" customHeight="1" x14ac:dyDescent="0.2">
      <c r="E216" s="122"/>
    </row>
    <row r="217" spans="5:5" ht="12.75" customHeight="1" x14ac:dyDescent="0.2">
      <c r="E217" s="122"/>
    </row>
    <row r="218" spans="5:5" ht="15.75" customHeight="1" x14ac:dyDescent="0.2"/>
    <row r="219" spans="5:5" ht="15.75" customHeight="1" x14ac:dyDescent="0.2"/>
    <row r="220" spans="5:5" ht="15.75" customHeight="1" x14ac:dyDescent="0.2"/>
    <row r="221" spans="5:5" ht="15.75" customHeight="1" x14ac:dyDescent="0.2"/>
    <row r="222" spans="5:5" ht="15.75" customHeight="1" x14ac:dyDescent="0.2"/>
    <row r="223" spans="5:5" ht="15.75" customHeight="1" x14ac:dyDescent="0.2"/>
    <row r="224" spans="5:5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</sheetData>
  <mergeCells count="3">
    <mergeCell ref="A5:F5"/>
    <mergeCell ref="D7:F7"/>
    <mergeCell ref="B13:B14"/>
  </mergeCells>
  <pageMargins left="0.90551181102362199" right="0.51181102362204722" top="0.74803149606299213" bottom="0.74803149606299213" header="0" footer="0"/>
  <pageSetup paperSize="9" orientation="portrait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workbookViewId="0"/>
  </sheetViews>
  <sheetFormatPr defaultColWidth="12.5703125" defaultRowHeight="15" customHeight="1" x14ac:dyDescent="0.2"/>
  <cols>
    <col min="1" max="1" width="24.5703125" customWidth="1"/>
    <col min="2" max="2" width="20.85546875" customWidth="1"/>
    <col min="3" max="22" width="9.140625" customWidth="1"/>
  </cols>
  <sheetData>
    <row r="1" spans="1:22" ht="19.5" customHeight="1" x14ac:dyDescent="0.2">
      <c r="A1" s="287" t="s">
        <v>179</v>
      </c>
      <c r="B1" s="256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9.5" customHeight="1" x14ac:dyDescent="0.2">
      <c r="A2" s="201" t="s">
        <v>183</v>
      </c>
      <c r="B2" s="203" t="s">
        <v>185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</row>
    <row r="3" spans="1:22" ht="19.5" customHeight="1" x14ac:dyDescent="0.2">
      <c r="A3" s="205">
        <v>1</v>
      </c>
      <c r="B3" s="206">
        <v>33.629999999999995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9.5" customHeight="1" x14ac:dyDescent="0.2">
      <c r="A4" s="205">
        <v>2</v>
      </c>
      <c r="B4" s="206">
        <v>43.13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9.5" customHeight="1" x14ac:dyDescent="0.2">
      <c r="A5" s="205">
        <v>3</v>
      </c>
      <c r="B5" s="206">
        <v>48.68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9.5" customHeight="1" x14ac:dyDescent="0.2">
      <c r="A6" s="205">
        <v>4</v>
      </c>
      <c r="B6" s="206">
        <v>52.62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9.5" customHeight="1" x14ac:dyDescent="0.2">
      <c r="A7" s="205">
        <v>5</v>
      </c>
      <c r="B7" s="206">
        <v>55.679999999999993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9.5" customHeight="1" x14ac:dyDescent="0.2">
      <c r="A8" s="205">
        <v>6</v>
      </c>
      <c r="B8" s="206">
        <v>58.18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9.5" customHeight="1" x14ac:dyDescent="0.2">
      <c r="A9" s="205">
        <v>7</v>
      </c>
      <c r="B9" s="206">
        <v>60.29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9.5" customHeight="1" x14ac:dyDescent="0.2">
      <c r="A10" s="205">
        <v>8</v>
      </c>
      <c r="B10" s="206">
        <v>62.12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9.5" customHeight="1" x14ac:dyDescent="0.2">
      <c r="A11" s="205">
        <v>9</v>
      </c>
      <c r="B11" s="206">
        <v>63.73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9.5" customHeight="1" x14ac:dyDescent="0.2">
      <c r="A12" s="205">
        <v>10</v>
      </c>
      <c r="B12" s="206">
        <v>65.180000000000007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9.5" customHeight="1" x14ac:dyDescent="0.2">
      <c r="A13" s="205">
        <v>11</v>
      </c>
      <c r="B13" s="206">
        <v>66.47999999999999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9.5" customHeight="1" x14ac:dyDescent="0.2">
      <c r="A14" s="205">
        <v>12</v>
      </c>
      <c r="B14" s="206">
        <v>67.67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9.5" customHeight="1" x14ac:dyDescent="0.2">
      <c r="A15" s="205">
        <v>13</v>
      </c>
      <c r="B15" s="206">
        <v>68.77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9.5" customHeight="1" x14ac:dyDescent="0.2">
      <c r="A16" s="205">
        <v>14</v>
      </c>
      <c r="B16" s="206">
        <v>69.789999999999992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9.5" customHeight="1" x14ac:dyDescent="0.2">
      <c r="A17" s="209">
        <v>15</v>
      </c>
      <c r="B17" s="210">
        <v>70.73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9.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9.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9.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9.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9.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9.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9.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9.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9.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9.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9.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9.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9.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9.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9.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9.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9.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9.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9.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9.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9.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9.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9.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9.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9.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9.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9.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9.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9.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9.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9.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9.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9.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9.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9.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9.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9.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9.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9.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9.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9.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9.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9.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9.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9.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9.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9.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9.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9.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9.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9.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9.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9.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9.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9.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9.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9.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9.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9.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9.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9.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9.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9.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9.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9.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9.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9.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9.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9.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9.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9.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9.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9.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9.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9.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9.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9.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9.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9.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9.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9.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9.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9.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9.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9.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9.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9.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9.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9.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9.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9.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9.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9.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9.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9.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9.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9.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9.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9.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9.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9.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9.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9.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9.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9.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9.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9.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9.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9.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9.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9.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9.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9.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9.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9.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9.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9.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9.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9.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9.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9.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9.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9.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9.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9.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9.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9.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9.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9.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9.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9.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9.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9.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9.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9.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9.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9.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9.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9.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9.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9.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9.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9.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9.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9.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9.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9.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9.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9.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9.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9.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9.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9.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9.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9.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9.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9.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9.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9.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9.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9.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9.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9.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9.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9.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9.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9.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9.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9.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9.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9.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9.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9.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9.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9.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9.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9.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9.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9.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9.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9.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9.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9.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9.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9.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9.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9.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9.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9.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9.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9.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9.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9.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9.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9.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9.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9.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9.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9.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9.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9.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9.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9.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"/>
    <row r="222" spans="1:22" ht="15.75" customHeight="1" x14ac:dyDescent="0.2"/>
    <row r="223" spans="1:22" ht="15.75" customHeight="1" x14ac:dyDescent="0.2"/>
    <row r="224" spans="1:22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1:B1"/>
  </mergeCells>
  <pageMargins left="0.90551181102362199" right="0.51181102362204722" top="0.74803149606299213" bottom="0.74803149606299213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workbookViewId="0"/>
  </sheetViews>
  <sheetFormatPr defaultColWidth="12.5703125" defaultRowHeight="15" customHeight="1" x14ac:dyDescent="0.2"/>
  <cols>
    <col min="1" max="1" width="70.42578125" customWidth="1"/>
    <col min="2" max="3" width="9.140625" customWidth="1"/>
    <col min="4" max="4" width="12.85546875" customWidth="1"/>
    <col min="5" max="21" width="9.140625" customWidth="1"/>
  </cols>
  <sheetData>
    <row r="1" spans="1:21" ht="21" customHeight="1" x14ac:dyDescent="0.25">
      <c r="A1" s="218" t="s">
        <v>197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2.75" customHeight="1" x14ac:dyDescent="0.2">
      <c r="A2" s="219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2.75" customHeight="1" x14ac:dyDescent="0.2">
      <c r="A3" s="219" t="s">
        <v>199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2.75" customHeight="1" x14ac:dyDescent="0.2">
      <c r="A4" s="219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2.75" customHeight="1" x14ac:dyDescent="0.2">
      <c r="A5" s="219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2.75" customHeight="1" x14ac:dyDescent="0.2">
      <c r="A6" s="219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2.75" customHeight="1" x14ac:dyDescent="0.2">
      <c r="A7" s="219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12.75" customHeight="1" x14ac:dyDescent="0.2">
      <c r="A8" s="219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12.75" customHeight="1" x14ac:dyDescent="0.2">
      <c r="A9" s="219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12.75" customHeight="1" x14ac:dyDescent="0.2">
      <c r="A10" s="219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12.75" customHeight="1" x14ac:dyDescent="0.2">
      <c r="A11" s="219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12.75" customHeight="1" x14ac:dyDescent="0.35">
      <c r="A12" s="222" t="s">
        <v>204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12.75" customHeight="1" x14ac:dyDescent="0.2">
      <c r="A13" s="222" t="s">
        <v>205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12.75" customHeight="1" x14ac:dyDescent="0.2">
      <c r="A14" s="222" t="s">
        <v>206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12.75" customHeight="1" x14ac:dyDescent="0.35">
      <c r="A15" s="222" t="s">
        <v>207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2.75" customHeight="1" x14ac:dyDescent="0.35">
      <c r="A16" s="222" t="s">
        <v>208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15" customHeight="1" x14ac:dyDescent="0.2">
      <c r="A17" s="224" t="s">
        <v>210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2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2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2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2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2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2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2.7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2.7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2.7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2.7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2.7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2.7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2.7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2.7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2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2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2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2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2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2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2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2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2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2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2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2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2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2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2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.75" customHeight="1" x14ac:dyDescent="0.2"/>
    <row r="229" spans="1:21" ht="15.75" customHeight="1" x14ac:dyDescent="0.2"/>
    <row r="230" spans="1:21" ht="15.75" customHeight="1" x14ac:dyDescent="0.2"/>
    <row r="231" spans="1:21" ht="15.75" customHeight="1" x14ac:dyDescent="0.2"/>
    <row r="232" spans="1:21" ht="15.75" customHeight="1" x14ac:dyDescent="0.2"/>
    <row r="233" spans="1:21" ht="15.75" customHeight="1" x14ac:dyDescent="0.2"/>
    <row r="234" spans="1:21" ht="15.75" customHeight="1" x14ac:dyDescent="0.2"/>
    <row r="235" spans="1:21" ht="15.75" customHeight="1" x14ac:dyDescent="0.2"/>
    <row r="236" spans="1:21" ht="15.75" customHeight="1" x14ac:dyDescent="0.2"/>
    <row r="237" spans="1:21" ht="15.75" customHeight="1" x14ac:dyDescent="0.2"/>
    <row r="238" spans="1:21" ht="15.75" customHeight="1" x14ac:dyDescent="0.2"/>
    <row r="239" spans="1:21" ht="15.75" customHeight="1" x14ac:dyDescent="0.2"/>
    <row r="240" spans="1:21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90551181102362199" right="0.51181102362204722" top="0.74803149606299213" bottom="0.74803149606299213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2</vt:i4>
      </vt:variant>
    </vt:vector>
  </HeadingPairs>
  <TitlesOfParts>
    <vt:vector size="8" baseType="lpstr">
      <vt:lpstr>1. Transporte RSU</vt:lpstr>
      <vt:lpstr>2.Encargos Sociais</vt:lpstr>
      <vt:lpstr>3.CAGED</vt:lpstr>
      <vt:lpstr>4.BDI</vt:lpstr>
      <vt:lpstr>5. Depreciação</vt:lpstr>
      <vt:lpstr>6.Remuneração de capital</vt:lpstr>
      <vt:lpstr>AbaDeprec</vt:lpstr>
      <vt:lpstr>AbaRemun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Flavia Burmeister Martins</dc:creator>
  <cp:lastModifiedBy>Usuário</cp:lastModifiedBy>
  <dcterms:created xsi:type="dcterms:W3CDTF">2000-12-13T10:02:50Z</dcterms:created>
  <dcterms:modified xsi:type="dcterms:W3CDTF">2026-10-19T12:51:37Z</dcterms:modified>
</cp:coreProperties>
</file>