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/>
  </bookViews>
  <sheets>
    <sheet name="1. Coleta convencional" sheetId="1" r:id="rId1"/>
    <sheet name="2.Encargos Sociais" sheetId="2" r:id="rId2"/>
    <sheet name="3.CAGED" sheetId="3" r:id="rId3"/>
    <sheet name="4.BDI" sheetId="4" r:id="rId4"/>
    <sheet name="5. Depreciação" sheetId="5" r:id="rId5"/>
    <sheet name="6.Remuneração de capital" sheetId="6" r:id="rId6"/>
  </sheets>
  <definedNames>
    <definedName name="AbaDeprec">'5. Depreciação'!$A$1</definedName>
    <definedName name="AbaRemun">'6.Remuneração de capital'!$A$1</definedName>
    <definedName name="Google_Sheet_Link_1183645163" hidden="1">AbaDeprec</definedName>
    <definedName name="Google_Sheet_Link_1314515019" hidden="1">AbaDeprec</definedName>
    <definedName name="Google_Sheet_Link_912072401" hidden="1">AbaRemun</definedName>
    <definedName name="Google_Sheet_Link_922699440" hidden="1">AbaRemun</definedName>
  </definedNames>
  <calcPr calcId="144525"/>
  <extLst>
    <ext uri="GoogleSheetsCustomDataVersion2">
      <go:sheetsCustomData xmlns:go="http://customooxmlschemas.google.com/" r:id="rId10" roundtripDataChecksum="Kx11cKiOUo27zm+v3jDv22E3OJLWG9dXI+WdB3cJkEg="/>
    </ext>
  </extLst>
</workbook>
</file>

<file path=xl/calcChain.xml><?xml version="1.0" encoding="utf-8"?>
<calcChain xmlns="http://schemas.openxmlformats.org/spreadsheetml/2006/main">
  <c r="C8" i="4" l="1"/>
  <c r="C13" i="4" s="1"/>
  <c r="C387" i="1" s="1"/>
  <c r="F6" i="4"/>
  <c r="E6" i="4"/>
  <c r="D6" i="4"/>
  <c r="B21" i="3"/>
  <c r="B23" i="3" s="1"/>
  <c r="B19" i="3"/>
  <c r="C17" i="2"/>
  <c r="C14" i="2"/>
  <c r="E378" i="1"/>
  <c r="C376" i="1"/>
  <c r="E376" i="1" s="1"/>
  <c r="D377" i="1" s="1"/>
  <c r="E377" i="1" s="1"/>
  <c r="E374" i="1"/>
  <c r="D375" i="1" s="1"/>
  <c r="E375" i="1" s="1"/>
  <c r="F378" i="1" s="1"/>
  <c r="F380" i="1" s="1"/>
  <c r="E34" i="1" s="1"/>
  <c r="E366" i="1"/>
  <c r="E365" i="1"/>
  <c r="E364" i="1"/>
  <c r="E363" i="1"/>
  <c r="E362" i="1"/>
  <c r="F367" i="1" s="1"/>
  <c r="F369" i="1" s="1"/>
  <c r="E33" i="1" s="1"/>
  <c r="C354" i="1"/>
  <c r="C352" i="1"/>
  <c r="E352" i="1" s="1"/>
  <c r="D353" i="1" s="1"/>
  <c r="E353" i="1" s="1"/>
  <c r="D354" i="1" s="1"/>
  <c r="E354" i="1" s="1"/>
  <c r="F355" i="1" s="1"/>
  <c r="E32" i="1" s="1"/>
  <c r="E350" i="1"/>
  <c r="D340" i="1"/>
  <c r="D339" i="1"/>
  <c r="D337" i="1"/>
  <c r="C337" i="1"/>
  <c r="E337" i="1" s="1"/>
  <c r="D335" i="1"/>
  <c r="D333" i="1"/>
  <c r="C333" i="1"/>
  <c r="E333" i="1" s="1"/>
  <c r="D331" i="1"/>
  <c r="C331" i="1"/>
  <c r="C339" i="1" s="1"/>
  <c r="E339" i="1" s="1"/>
  <c r="E323" i="1"/>
  <c r="C321" i="1"/>
  <c r="E321" i="1" s="1"/>
  <c r="C320" i="1"/>
  <c r="E320" i="1" s="1"/>
  <c r="E319" i="1"/>
  <c r="D322" i="1" s="1"/>
  <c r="E322" i="1" s="1"/>
  <c r="F323" i="1" s="1"/>
  <c r="C319" i="1"/>
  <c r="E315" i="1"/>
  <c r="C314" i="1"/>
  <c r="C309" i="1"/>
  <c r="D308" i="1"/>
  <c r="C304" i="1"/>
  <c r="E303" i="1"/>
  <c r="D303" i="1"/>
  <c r="E299" i="1"/>
  <c r="C296" i="1"/>
  <c r="C295" i="1"/>
  <c r="C292" i="1"/>
  <c r="C308" i="1" s="1"/>
  <c r="E308" i="1" s="1"/>
  <c r="C291" i="1"/>
  <c r="C290" i="1"/>
  <c r="E287" i="1"/>
  <c r="D290" i="1" s="1"/>
  <c r="C280" i="1"/>
  <c r="E278" i="1"/>
  <c r="C278" i="1"/>
  <c r="E276" i="1"/>
  <c r="D279" i="1" s="1"/>
  <c r="E279" i="1" s="1"/>
  <c r="D280" i="1" s="1"/>
  <c r="E271" i="1"/>
  <c r="F272" i="1" s="1"/>
  <c r="C271" i="1"/>
  <c r="D265" i="1"/>
  <c r="C265" i="1"/>
  <c r="E265" i="1" s="1"/>
  <c r="D263" i="1"/>
  <c r="D261" i="1"/>
  <c r="C261" i="1"/>
  <c r="E261" i="1" s="1"/>
  <c r="D259" i="1"/>
  <c r="D257" i="1"/>
  <c r="C257" i="1"/>
  <c r="E257" i="1" s="1"/>
  <c r="E255" i="1"/>
  <c r="D255" i="1"/>
  <c r="D266" i="1" s="1"/>
  <c r="C255" i="1"/>
  <c r="C263" i="1" s="1"/>
  <c r="E263" i="1" s="1"/>
  <c r="E247" i="1"/>
  <c r="E245" i="1"/>
  <c r="C245" i="1"/>
  <c r="E244" i="1"/>
  <c r="C244" i="1"/>
  <c r="E243" i="1"/>
  <c r="D246" i="1" s="1"/>
  <c r="E246" i="1" s="1"/>
  <c r="F247" i="1" s="1"/>
  <c r="E22" i="1" s="1"/>
  <c r="D243" i="1"/>
  <c r="E238" i="1"/>
  <c r="C237" i="1"/>
  <c r="C232" i="1"/>
  <c r="D231" i="1"/>
  <c r="E226" i="1"/>
  <c r="D226" i="1"/>
  <c r="E221" i="1"/>
  <c r="C218" i="1"/>
  <c r="C217" i="1"/>
  <c r="C214" i="1"/>
  <c r="C231" i="1" s="1"/>
  <c r="E231" i="1" s="1"/>
  <c r="C213" i="1"/>
  <c r="E212" i="1"/>
  <c r="D213" i="1" s="1"/>
  <c r="E213" i="1" s="1"/>
  <c r="C212" i="1"/>
  <c r="C228" i="1" s="1"/>
  <c r="E208" i="1"/>
  <c r="D212" i="1" s="1"/>
  <c r="E198" i="1"/>
  <c r="E196" i="1"/>
  <c r="D195" i="1"/>
  <c r="E195" i="1" s="1"/>
  <c r="D194" i="1"/>
  <c r="E194" i="1" s="1"/>
  <c r="D193" i="1"/>
  <c r="E193" i="1" s="1"/>
  <c r="D192" i="1"/>
  <c r="E192" i="1" s="1"/>
  <c r="D191" i="1"/>
  <c r="E191" i="1" s="1"/>
  <c r="D190" i="1"/>
  <c r="E190" i="1" s="1"/>
  <c r="D197" i="1" s="1"/>
  <c r="E185" i="1"/>
  <c r="E183" i="1"/>
  <c r="E182" i="1"/>
  <c r="E181" i="1"/>
  <c r="E180" i="1"/>
  <c r="E179" i="1"/>
  <c r="E178" i="1"/>
  <c r="E177" i="1"/>
  <c r="E176" i="1"/>
  <c r="E175" i="1"/>
  <c r="E174" i="1"/>
  <c r="E173" i="1"/>
  <c r="D184" i="1" s="1"/>
  <c r="E164" i="1"/>
  <c r="A163" i="1"/>
  <c r="C161" i="1"/>
  <c r="A161" i="1"/>
  <c r="C160" i="1"/>
  <c r="E160" i="1" s="1"/>
  <c r="E159" i="1"/>
  <c r="C159" i="1"/>
  <c r="E155" i="1"/>
  <c r="A154" i="1"/>
  <c r="E153" i="1"/>
  <c r="A153" i="1"/>
  <c r="A162" i="1" s="1"/>
  <c r="C152" i="1"/>
  <c r="E152" i="1" s="1"/>
  <c r="C151" i="1"/>
  <c r="D145" i="1"/>
  <c r="A145" i="1"/>
  <c r="D144" i="1"/>
  <c r="C144" i="1"/>
  <c r="E144" i="1" s="1"/>
  <c r="A144" i="1"/>
  <c r="E143" i="1"/>
  <c r="C143" i="1"/>
  <c r="A143" i="1"/>
  <c r="A152" i="1" s="1"/>
  <c r="C142" i="1"/>
  <c r="E142" i="1" s="1"/>
  <c r="A142" i="1"/>
  <c r="A151" i="1" s="1"/>
  <c r="A160" i="1" s="1"/>
  <c r="A141" i="1"/>
  <c r="A150" i="1" s="1"/>
  <c r="A159" i="1" s="1"/>
  <c r="C136" i="1"/>
  <c r="C135" i="1"/>
  <c r="C134" i="1"/>
  <c r="E134" i="1" s="1"/>
  <c r="C133" i="1"/>
  <c r="C132" i="1"/>
  <c r="E132" i="1" s="1"/>
  <c r="E125" i="1"/>
  <c r="E117" i="1"/>
  <c r="D117" i="1"/>
  <c r="E116" i="1"/>
  <c r="D118" i="1" s="1"/>
  <c r="E118" i="1" s="1"/>
  <c r="D116" i="1"/>
  <c r="E114" i="1"/>
  <c r="C105" i="1"/>
  <c r="C104" i="1"/>
  <c r="D102" i="1"/>
  <c r="E102" i="1" s="1"/>
  <c r="C102" i="1"/>
  <c r="C101" i="1"/>
  <c r="D100" i="1"/>
  <c r="E99" i="1"/>
  <c r="D99" i="1"/>
  <c r="D101" i="1" s="1"/>
  <c r="E101" i="1" s="1"/>
  <c r="D103" i="1" s="1"/>
  <c r="E103" i="1" s="1"/>
  <c r="E95" i="1"/>
  <c r="D88" i="1"/>
  <c r="E88" i="1" s="1"/>
  <c r="D90" i="1" s="1"/>
  <c r="E90" i="1" s="1"/>
  <c r="D87" i="1"/>
  <c r="E87" i="1" s="1"/>
  <c r="D86" i="1"/>
  <c r="E86" i="1" s="1"/>
  <c r="E84" i="1"/>
  <c r="D134" i="1" s="1"/>
  <c r="E73" i="1"/>
  <c r="C73" i="1"/>
  <c r="D72" i="1"/>
  <c r="E72" i="1" s="1"/>
  <c r="D74" i="1" s="1"/>
  <c r="E74" i="1" s="1"/>
  <c r="C72" i="1"/>
  <c r="E71" i="1"/>
  <c r="D71" i="1"/>
  <c r="D73" i="1" s="1"/>
  <c r="E67" i="1"/>
  <c r="D62" i="1"/>
  <c r="E62" i="1" s="1"/>
  <c r="E63" i="1" s="1"/>
  <c r="D60" i="1"/>
  <c r="E60" i="1" s="1"/>
  <c r="D59" i="1"/>
  <c r="E59" i="1" s="1"/>
  <c r="D61" i="1" s="1"/>
  <c r="E61" i="1" s="1"/>
  <c r="E58" i="1"/>
  <c r="D132" i="1" s="1"/>
  <c r="E50" i="1"/>
  <c r="A50" i="1"/>
  <c r="A49" i="1"/>
  <c r="E45" i="1"/>
  <c r="A45" i="1"/>
  <c r="E44" i="1"/>
  <c r="C153" i="1" s="1"/>
  <c r="A44" i="1"/>
  <c r="A43" i="1"/>
  <c r="E42" i="1"/>
  <c r="A42" i="1"/>
  <c r="E41" i="1"/>
  <c r="E46" i="1" s="1"/>
  <c r="A41" i="1"/>
  <c r="A35" i="1"/>
  <c r="A34" i="1"/>
  <c r="A33" i="1"/>
  <c r="A32" i="1"/>
  <c r="A31" i="1"/>
  <c r="A30" i="1"/>
  <c r="E29" i="1"/>
  <c r="A29" i="1"/>
  <c r="A28" i="1"/>
  <c r="A27" i="1"/>
  <c r="A26" i="1"/>
  <c r="A25" i="1"/>
  <c r="E24" i="1"/>
  <c r="A24" i="1"/>
  <c r="A23" i="1"/>
  <c r="A22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D64" i="1" l="1"/>
  <c r="D105" i="1"/>
  <c r="E105" i="1" s="1"/>
  <c r="E106" i="1" s="1"/>
  <c r="E136" i="1"/>
  <c r="B24" i="3"/>
  <c r="B29" i="3"/>
  <c r="C24" i="2" s="1"/>
  <c r="C27" i="2"/>
  <c r="D135" i="1"/>
  <c r="E290" i="1"/>
  <c r="D291" i="1" s="1"/>
  <c r="E291" i="1" s="1"/>
  <c r="E91" i="1"/>
  <c r="C197" i="1"/>
  <c r="E197" i="1" s="1"/>
  <c r="F198" i="1" s="1"/>
  <c r="C154" i="1"/>
  <c r="C145" i="1"/>
  <c r="E145" i="1" s="1"/>
  <c r="C229" i="1"/>
  <c r="D230" i="1" s="1"/>
  <c r="E230" i="1" s="1"/>
  <c r="E280" i="1"/>
  <c r="F281" i="1" s="1"/>
  <c r="E25" i="1" s="1"/>
  <c r="D136" i="1"/>
  <c r="D120" i="1"/>
  <c r="E120" i="1" s="1"/>
  <c r="E121" i="1"/>
  <c r="E76" i="1"/>
  <c r="D133" i="1"/>
  <c r="E133" i="1" s="1"/>
  <c r="F137" i="1" s="1"/>
  <c r="E13" i="1" s="1"/>
  <c r="D75" i="1"/>
  <c r="E75" i="1" s="1"/>
  <c r="E135" i="1"/>
  <c r="C305" i="1"/>
  <c r="E331" i="1"/>
  <c r="C141" i="1"/>
  <c r="E141" i="1" s="1"/>
  <c r="F146" i="1" s="1"/>
  <c r="E14" i="1" s="1"/>
  <c r="C150" i="1"/>
  <c r="E150" i="1" s="1"/>
  <c r="C162" i="1"/>
  <c r="C184" i="1"/>
  <c r="E184" i="1" s="1"/>
  <c r="F185" i="1" s="1"/>
  <c r="F200" i="1" s="1"/>
  <c r="E17" i="1" s="1"/>
  <c r="E292" i="1"/>
  <c r="C345" i="1"/>
  <c r="E345" i="1" s="1"/>
  <c r="F346" i="1" s="1"/>
  <c r="E31" i="1" s="1"/>
  <c r="B22" i="3"/>
  <c r="C28" i="2" s="1"/>
  <c r="C335" i="1"/>
  <c r="E335" i="1" s="1"/>
  <c r="E214" i="1"/>
  <c r="C259" i="1"/>
  <c r="E259" i="1" s="1"/>
  <c r="F267" i="1" s="1"/>
  <c r="E23" i="1" s="1"/>
  <c r="D107" i="1" l="1"/>
  <c r="F155" i="1"/>
  <c r="E15" i="1" s="1"/>
  <c r="C32" i="2"/>
  <c r="D122" i="1"/>
  <c r="C25" i="2"/>
  <c r="C26" i="2" s="1"/>
  <c r="C29" i="2" s="1"/>
  <c r="C16" i="2"/>
  <c r="C22" i="2" s="1"/>
  <c r="C31" i="2" s="1"/>
  <c r="C33" i="2" s="1"/>
  <c r="F341" i="1"/>
  <c r="E30" i="1" s="1"/>
  <c r="D92" i="1"/>
  <c r="D295" i="1"/>
  <c r="E295" i="1" s="1"/>
  <c r="D296" i="1" s="1"/>
  <c r="E296" i="1" s="1"/>
  <c r="E297" i="1" s="1"/>
  <c r="D298" i="1" s="1"/>
  <c r="E298" i="1" s="1"/>
  <c r="F299" i="1" s="1"/>
  <c r="E27" i="1" s="1"/>
  <c r="C310" i="1"/>
  <c r="C311" i="1" s="1"/>
  <c r="D312" i="1" s="1"/>
  <c r="E312" i="1" s="1"/>
  <c r="C306" i="1"/>
  <c r="D307" i="1" s="1"/>
  <c r="E307" i="1" s="1"/>
  <c r="C163" i="1"/>
  <c r="E163" i="1" s="1"/>
  <c r="F164" i="1" s="1"/>
  <c r="E16" i="1" s="1"/>
  <c r="E154" i="1"/>
  <c r="C233" i="1"/>
  <c r="D217" i="1"/>
  <c r="E217" i="1" s="1"/>
  <c r="D218" i="1" s="1"/>
  <c r="E218" i="1" s="1"/>
  <c r="E219" i="1" s="1"/>
  <c r="D220" i="1" s="1"/>
  <c r="E220" i="1" s="1"/>
  <c r="F221" i="1" s="1"/>
  <c r="D77" i="1"/>
  <c r="E26" i="1" l="1"/>
  <c r="F357" i="1"/>
  <c r="E18" i="1" s="1"/>
  <c r="E20" i="1"/>
  <c r="C234" i="1"/>
  <c r="D235" i="1" s="1"/>
  <c r="E235" i="1" s="1"/>
  <c r="E236" i="1" s="1"/>
  <c r="D237" i="1" s="1"/>
  <c r="E237" i="1" s="1"/>
  <c r="F238" i="1" s="1"/>
  <c r="E21" i="1" s="1"/>
  <c r="C34" i="2"/>
  <c r="C64" i="1" s="1"/>
  <c r="E313" i="1"/>
  <c r="D314" i="1" s="1"/>
  <c r="E314" i="1" s="1"/>
  <c r="F315" i="1" s="1"/>
  <c r="E28" i="1" s="1"/>
  <c r="C92" i="1" l="1"/>
  <c r="C77" i="1"/>
  <c r="E77" i="1" s="1"/>
  <c r="E78" i="1" s="1"/>
  <c r="D79" i="1" s="1"/>
  <c r="E79" i="1" s="1"/>
  <c r="F80" i="1" s="1"/>
  <c r="E9" i="1" s="1"/>
  <c r="E64" i="1"/>
  <c r="E65" i="1" s="1"/>
  <c r="D66" i="1" s="1"/>
  <c r="E66" i="1" s="1"/>
  <c r="F67" i="1" s="1"/>
  <c r="E19" i="1"/>
  <c r="E8" i="1" l="1"/>
  <c r="C107" i="1"/>
  <c r="E107" i="1" s="1"/>
  <c r="E108" i="1" s="1"/>
  <c r="D109" i="1" s="1"/>
  <c r="E109" i="1" s="1"/>
  <c r="F110" i="1" s="1"/>
  <c r="E11" i="1" s="1"/>
  <c r="C122" i="1"/>
  <c r="E122" i="1" s="1"/>
  <c r="E123" i="1" s="1"/>
  <c r="D124" i="1" s="1"/>
  <c r="E124" i="1" s="1"/>
  <c r="F125" i="1" s="1"/>
  <c r="E12" i="1" s="1"/>
  <c r="E92" i="1"/>
  <c r="E93" i="1" s="1"/>
  <c r="D94" i="1" s="1"/>
  <c r="E94" i="1" s="1"/>
  <c r="F95" i="1" s="1"/>
  <c r="E10" i="1" s="1"/>
  <c r="F166" i="1" l="1"/>
  <c r="F382" i="1" l="1"/>
  <c r="E7" i="1"/>
  <c r="D387" i="1" l="1"/>
  <c r="E387" i="1" s="1"/>
  <c r="F388" i="1" s="1"/>
  <c r="F390" i="1" s="1"/>
  <c r="E35" i="1" s="1"/>
  <c r="F393" i="1"/>
  <c r="F398" i="1" s="1"/>
  <c r="E36" i="1" l="1"/>
  <c r="F32" i="1" l="1"/>
  <c r="F29" i="1"/>
  <c r="F22" i="1"/>
  <c r="F33" i="1"/>
  <c r="F24" i="1"/>
  <c r="F34" i="1"/>
  <c r="F17" i="1"/>
  <c r="F23" i="1"/>
  <c r="F25" i="1"/>
  <c r="F14" i="1"/>
  <c r="F13" i="1"/>
  <c r="F31" i="1"/>
  <c r="F16" i="1"/>
  <c r="F27" i="1"/>
  <c r="F15" i="1"/>
  <c r="F30" i="1"/>
  <c r="F26" i="1"/>
  <c r="F28" i="1"/>
  <c r="F20" i="1"/>
  <c r="F18" i="1"/>
  <c r="F21" i="1"/>
  <c r="F19" i="1"/>
  <c r="F9" i="1"/>
  <c r="F11" i="1"/>
  <c r="F8" i="1"/>
  <c r="F10" i="1"/>
  <c r="F12" i="1"/>
  <c r="F7" i="1"/>
  <c r="F35" i="1"/>
  <c r="F36" i="1" l="1"/>
</calcChain>
</file>

<file path=xl/comments1.xml><?xml version="1.0" encoding="utf-8"?>
<comments xmlns="http://schemas.openxmlformats.org/spreadsheetml/2006/main">
  <authors>
    <author/>
  </authors>
  <commentList>
    <comment ref="B52" authorId="0">
      <text>
        <r>
          <rPr>
            <sz val="10"/>
            <color rgb="FF000000"/>
            <rFont val="Arial"/>
            <scheme val="minor"/>
          </rPr>
          <t>======
ID#AAAA6ExiLnc
Clauber Bridi    (2022-08-23 13:58:08)
Informar o fator de utilização das equipes de coleta. 
Por exemplo:
Equipes com utilização integral = 100%
Equipes com utilização parcial = n° horas trabalhadas por semana /44 horas</t>
        </r>
      </text>
    </comment>
    <comment ref="C59" authorId="0">
      <text>
        <r>
          <rPr>
            <sz val="10"/>
            <color rgb="FF000000"/>
            <rFont val="Arial"/>
            <scheme val="minor"/>
          </rPr>
          <t>======
ID#AAAA6ExiLs0
Clauber Bridi    (2022-08-23 13:58:08)
Informar o número de horas extras trabalhadas nos domingos e feriados em horário diurno</t>
        </r>
      </text>
    </comment>
    <comment ref="A61" authorId="0">
      <text>
        <r>
          <rPr>
            <sz val="10"/>
            <color rgb="FF000000"/>
            <rFont val="Arial"/>
            <scheme val="minor"/>
          </rPr>
          <t>======
ID#AAAA6ExiLoU
Clauber Bridi    (2022-08-23 13:58:08)
Cálculo do descanso semanal remunerado incidente sobre as horas extras habitualmente prestadas. Considerada a média de 63 feriados + domingos e 302 dias trabalhados por ano</t>
        </r>
      </text>
    </comment>
    <comment ref="D84" authorId="0">
      <text>
        <r>
          <rPr>
            <sz val="10"/>
            <color rgb="FF000000"/>
            <rFont val="Arial"/>
            <scheme val="minor"/>
          </rPr>
          <t>======
ID#AAAA6ExiLrA
Clauber Bridi    (2022-08-23 13:58:08)
Informar o Piso da categoria fixado na Convenção Coletiva</t>
        </r>
      </text>
    </comment>
    <comment ref="A88" authorId="0">
      <text>
        <r>
          <rPr>
            <sz val="10"/>
            <color rgb="FF000000"/>
            <rFont val="Arial"/>
            <scheme val="minor"/>
          </rPr>
          <t>======
ID#AAAA6ExiLwk
Clauber Bridi    (2022-08-23 13:58:08)
Cálculo do descanso semanal remunerado incidente sobre as horas extras habitualmente prestadas. Considerada a média de 63 feriados + domingos e 302 dias trabalhados por ano</t>
        </r>
      </text>
    </comment>
    <comment ref="C89" authorId="0">
      <text>
        <r>
          <rPr>
            <sz val="10"/>
            <color rgb="FF000000"/>
            <rFont val="Arial"/>
            <scheme val="minor"/>
          </rPr>
          <t>======
ID#AAAA6ExiLq4
Clauber Bridi    (2022-08-23 13:58:08)
Informar 1 se a base de cálculo for o Salário Mínimo Nacional; Informar 2 se a base de cálculo for o Piso da Categoria;</t>
        </r>
      </text>
    </comment>
    <comment ref="C90" authorId="0">
      <text>
        <r>
          <rPr>
            <sz val="10"/>
            <color rgb="FF000000"/>
            <rFont val="Arial"/>
            <scheme val="minor"/>
          </rPr>
          <t>======
ID#AAAA6ExiLoc
Clauber Bridi    (2022-08-23 13:58:08)
Percentual estabelecido nas Normas de Segurança de Trabalho ou pelo laudo de responsável técnico devidamente habilitado</t>
        </r>
      </text>
    </comment>
    <comment ref="C92" authorId="0">
      <text>
        <r>
          <rPr>
            <sz val="10"/>
            <color rgb="FF000000"/>
            <rFont val="Arial"/>
            <scheme val="minor"/>
          </rPr>
          <t>======
ID#AAAA6ExiLoY
Clauber Bridi    (2022-08-23 13:58:08)
Preencher a planilha Encargos Sociais e CAGED</t>
        </r>
      </text>
    </comment>
    <comment ref="A118" authorId="0">
      <text>
        <r>
          <rPr>
            <sz val="10"/>
            <color rgb="FF000000"/>
            <rFont val="Arial"/>
            <scheme val="minor"/>
          </rPr>
          <t>======
ID#AAAA6ExiLuY
Clauber Bridi    (2022-08-23 13:58:08)
Cálculo do descanso semanal remunerado incidente sobre as horas extras habitualmente prestadas. Considerada a média de 63 feriados + domingos e 302 dias trabalhados por ano</t>
        </r>
      </text>
    </comment>
    <comment ref="C119" authorId="0">
      <text>
        <r>
          <rPr>
            <sz val="10"/>
            <color rgb="FF000000"/>
            <rFont val="Arial"/>
            <scheme val="minor"/>
          </rPr>
          <t>======
ID#AAAA6ExiLr8
Clauber Bridi    (2022-08-23 13:58:08)
Informar 1 se a base de cálculo for o Salário Mínimo Nacional; Informar 2 se a base de cálculo for o Piso da Categoria;</t>
        </r>
      </text>
    </comment>
    <comment ref="C122" authorId="0">
      <text>
        <r>
          <rPr>
            <sz val="10"/>
            <color rgb="FF000000"/>
            <rFont val="Arial"/>
            <scheme val="minor"/>
          </rPr>
          <t>======
ID#AAAA6ExiLwA
Clauber Bridi    (2022-08-23 13:58:08)
Preencher a planilha Encargos Sociais e CAGED</t>
        </r>
      </text>
    </comment>
    <comment ref="C124" authorId="0">
      <text>
        <r>
          <rPr>
            <sz val="10"/>
            <color rgb="FF000000"/>
            <rFont val="Arial"/>
            <scheme val="minor"/>
          </rPr>
          <t>======
ID#AAAA6ExiLu8
Clauber Bridi    (2022-08-23 13:58:08)
Informar a quantidade de trabalhadores na função</t>
        </r>
      </text>
    </comment>
    <comment ref="D129" authorId="0">
      <text>
        <r>
          <rPr>
            <sz val="10"/>
            <color rgb="FF000000"/>
            <rFont val="Arial"/>
            <scheme val="minor"/>
          </rPr>
          <t>======
ID#AAAA6ExiLqY
Clauber Bridi    (2022-08-23 13:58:08)
Informar o valor unitário do VT no município</t>
        </r>
      </text>
    </comment>
    <comment ref="D161" authorId="0">
      <text>
        <r>
          <rPr>
            <sz val="10"/>
            <color rgb="FF000000"/>
            <rFont val="Arial"/>
            <scheme val="minor"/>
          </rPr>
          <t>======
ID#AAAA6ExiLsM
Clauber Bridi    (2022-08-23 13:58:08)
Informar o valor mensal do auxilio alimentação, considerando o desconto aplicável ao funcionário, conforme Convenção Coletiva da categoria</t>
        </r>
      </text>
    </comment>
    <comment ref="D163" authorId="0">
      <text>
        <r>
          <rPr>
            <sz val="10"/>
            <color rgb="FF000000"/>
            <rFont val="Arial"/>
            <scheme val="minor"/>
          </rPr>
          <t>======
ID#AAAA6ExiLts
Clauber Bridi    (2022-08-23 13:58:08)
Informar o valor mensal do auxilio alimentação, considerando o desconto aplicável ao funcionário, conforme Convenção Coletiva da categoria</t>
        </r>
      </text>
    </comment>
    <comment ref="C173" authorId="0">
      <text>
        <r>
          <rPr>
            <sz val="10"/>
            <color rgb="FF000000"/>
            <rFont val="Arial"/>
            <scheme val="minor"/>
          </rPr>
          <t>======
ID#AAAA6ExiLoI
Clauber Bridi    (2022-08-23 13:58:08)
Informar a durabilidade estimada em meses, para cada EPI</t>
        </r>
      </text>
    </comment>
    <comment ref="D173" authorId="0">
      <text>
        <r>
          <rPr>
            <sz val="10"/>
            <color rgb="FF000000"/>
            <rFont val="Arial"/>
            <scheme val="minor"/>
          </rPr>
          <t>======
ID#AAAA6ExiLoM
Clauber Bridi    (2022-08-23 13:58:08)
Informar o valor unitário estimado para aquisição de cada EPI</t>
        </r>
      </text>
    </comment>
    <comment ref="C174" authorId="0">
      <text>
        <r>
          <rPr>
            <sz val="10"/>
            <color rgb="FF000000"/>
            <rFont val="Arial"/>
            <scheme val="minor"/>
          </rPr>
          <t>======
ID#AAAA6ExiLpE
Clauber Bridi    (2022-08-23 13:58:08)
Informar a durabilidade estimada em meses, para cada EPI</t>
        </r>
      </text>
    </comment>
    <comment ref="D174" authorId="0">
      <text>
        <r>
          <rPr>
            <sz val="10"/>
            <color rgb="FF000000"/>
            <rFont val="Arial"/>
            <scheme val="minor"/>
          </rPr>
          <t>======
ID#AAAA6ExiLqc
Clauber Bridi    (2022-08-23 13:58:08)
Informar o valor unitário estimado para aquisição de cada EPI</t>
        </r>
      </text>
    </comment>
    <comment ref="C175" authorId="0">
      <text>
        <r>
          <rPr>
            <sz val="10"/>
            <color rgb="FF000000"/>
            <rFont val="Arial"/>
            <scheme val="minor"/>
          </rPr>
          <t>======
ID#AAAA6ExiLuc
Clauber Bridi    (2022-08-23 13:58:08)
Informar a durabilidade estimada em meses, para cada EPI</t>
        </r>
      </text>
    </comment>
    <comment ref="D175" authorId="0">
      <text>
        <r>
          <rPr>
            <sz val="10"/>
            <color rgb="FF000000"/>
            <rFont val="Arial"/>
            <scheme val="minor"/>
          </rPr>
          <t>======
ID#AAAA6ExiLrQ
Clauber Bridi    (2022-08-23 13:58:08)
Informar o valor unitário estimado para aquisição de cada EPI</t>
        </r>
      </text>
    </comment>
    <comment ref="C176" authorId="0">
      <text>
        <r>
          <rPr>
            <sz val="10"/>
            <color rgb="FF000000"/>
            <rFont val="Arial"/>
            <scheme val="minor"/>
          </rPr>
          <t>======
ID#AAAA6ExiLtU
Clauber Bridi    (2022-08-23 13:58:08)
Informar a durabilidade estimada em meses, para cada EPI</t>
        </r>
      </text>
    </comment>
    <comment ref="D176" authorId="0">
      <text>
        <r>
          <rPr>
            <sz val="10"/>
            <color rgb="FF000000"/>
            <rFont val="Arial"/>
            <scheme val="minor"/>
          </rPr>
          <t>======
ID#AAAA6ExiLpY
Clauber Bridi    (2022-08-23 13:58:08)
Informar o valor unitário estimado para aquisição de cada EPI</t>
        </r>
      </text>
    </comment>
    <comment ref="C178" authorId="0">
      <text>
        <r>
          <rPr>
            <sz val="10"/>
            <color rgb="FF000000"/>
            <rFont val="Arial"/>
            <scheme val="minor"/>
          </rPr>
          <t>======
ID#AAAA6ExiLqo
Clauber Bridi    (2022-08-23 13:58:08)
Informar a durabilidade estimada em meses, para cada EPI</t>
        </r>
      </text>
    </comment>
    <comment ref="D179" authorId="0">
      <text>
        <r>
          <rPr>
            <sz val="10"/>
            <color rgb="FF000000"/>
            <rFont val="Arial"/>
            <scheme val="minor"/>
          </rPr>
          <t>======
ID#AAAA6ExiLsg
Clauber Bridi    (2022-08-23 13:58:08)
Informar o valor unitário estimado para aquisição de cada EPI</t>
        </r>
      </text>
    </comment>
    <comment ref="C180" authorId="0">
      <text>
        <r>
          <rPr>
            <sz val="10"/>
            <color rgb="FF000000"/>
            <rFont val="Arial"/>
            <scheme val="minor"/>
          </rPr>
          <t>======
ID#AAAA6ExiLuE
Clauber Bridi    (2022-08-23 13:58:08)
Informar a durabilidade estimada em meses, para cada EPI</t>
        </r>
      </text>
    </comment>
    <comment ref="D180" authorId="0">
      <text>
        <r>
          <rPr>
            <sz val="10"/>
            <color rgb="FF000000"/>
            <rFont val="Arial"/>
            <scheme val="minor"/>
          </rPr>
          <t>======
ID#AAAA6ExiLtc
Clauber Bridi    (2022-08-23 13:58:08)
Informar o valor unitário estimado para aquisição de cada EPI</t>
        </r>
      </text>
    </comment>
    <comment ref="C181" authorId="0">
      <text>
        <r>
          <rPr>
            <sz val="10"/>
            <color rgb="FF000000"/>
            <rFont val="Arial"/>
            <scheme val="minor"/>
          </rPr>
          <t>======
ID#AAAA6ExiLtI
Clauber Bridi    (2022-08-23 13:58:08)
Informar a durabilidade estimada em meses, para cada EPI</t>
        </r>
      </text>
    </comment>
    <comment ref="D181" authorId="0">
      <text>
        <r>
          <rPr>
            <sz val="10"/>
            <color rgb="FF000000"/>
            <rFont val="Arial"/>
            <scheme val="minor"/>
          </rPr>
          <t>======
ID#AAAA6ExiLrU
Clauber Bridi    (2022-08-23 13:58:08)
Informar o valor unitário estimado para aquisição de cada EPI</t>
        </r>
      </text>
    </comment>
    <comment ref="C182" authorId="0">
      <text>
        <r>
          <rPr>
            <sz val="10"/>
            <color rgb="FF000000"/>
            <rFont val="Arial"/>
            <scheme val="minor"/>
          </rPr>
          <t>======
ID#AAAA6ExiLss
Clauber Bridi    (2022-08-23 13:58:08)
Informar a durabilidade estimada em meses, para cada EPI</t>
        </r>
      </text>
    </comment>
    <comment ref="D182" authorId="0">
      <text>
        <r>
          <rPr>
            <sz val="10"/>
            <color rgb="FF000000"/>
            <rFont val="Arial"/>
            <scheme val="minor"/>
          </rPr>
          <t>======
ID#AAAA6ExiLpM
Clauber Bridi    (2022-08-23 13:58:08)
Informar o valor unitário estimado para aquisição de cada EPI</t>
        </r>
      </text>
    </comment>
    <comment ref="D183" authorId="0">
      <text>
        <r>
          <rPr>
            <sz val="10"/>
            <color rgb="FF000000"/>
            <rFont val="Arial"/>
            <scheme val="minor"/>
          </rPr>
          <t>======
ID#AAAA6ExiLtg
Clauber Bridi    (2022-08-23 13:58:08)
Informar o valor mensal de higienização de uniforme para 1 funcionário</t>
        </r>
      </text>
    </comment>
    <comment ref="C190" authorId="0">
      <text>
        <r>
          <rPr>
            <sz val="10"/>
            <color rgb="FF000000"/>
            <rFont val="Arial"/>
            <scheme val="minor"/>
          </rPr>
          <t>======
ID#AAAA6ExiLn8
Clauber Bridi    (2022-08-23 13:58:08)
Informar a durabilidade estimada em meses, para cada EPI</t>
        </r>
      </text>
    </comment>
    <comment ref="C191" authorId="0">
      <text>
        <r>
          <rPr>
            <sz val="10"/>
            <color rgb="FF000000"/>
            <rFont val="Arial"/>
            <scheme val="minor"/>
          </rPr>
          <t>======
ID#AAAA6ExiLsU
Clauber Bridi    (2022-08-23 13:58:08)
Informar a durabilidade estimada em meses, para cada EPI</t>
        </r>
      </text>
    </comment>
    <comment ref="C192" authorId="0">
      <text>
        <r>
          <rPr>
            <sz val="10"/>
            <color rgb="FF000000"/>
            <rFont val="Arial"/>
            <scheme val="minor"/>
          </rPr>
          <t>======
ID#AAAA6ExiLug
Clauber Bridi    (2022-08-23 13:58:08)
Informar a durabilidade estimada em meses, para cada EPI</t>
        </r>
      </text>
    </comment>
    <comment ref="C193" authorId="0">
      <text>
        <r>
          <rPr>
            <sz val="10"/>
            <color rgb="FF000000"/>
            <rFont val="Arial"/>
            <scheme val="minor"/>
          </rPr>
          <t>======
ID#AAAA6ExiLsw
Clauber Bridi    (2022-08-23 13:58:08)
Informar a durabilidade estimada em meses, para cada EPI</t>
        </r>
      </text>
    </comment>
    <comment ref="C194" authorId="0">
      <text>
        <r>
          <rPr>
            <sz val="10"/>
            <color rgb="FF000000"/>
            <rFont val="Arial"/>
            <scheme val="minor"/>
          </rPr>
          <t>======
ID#AAAA6ExiLpA
Clauber Bridi    (2022-08-23 13:58:08)
Informar a durabilidade estimada em meses, para cada EPI</t>
        </r>
      </text>
    </comment>
    <comment ref="C195" authorId="0">
      <text>
        <r>
          <rPr>
            <sz val="10"/>
            <color rgb="FF000000"/>
            <rFont val="Arial"/>
            <scheme val="minor"/>
          </rPr>
          <t>======
ID#AAAA6ExiLwE
Clauber Bridi    (2022-08-23 13:58:08)
Informar a durabilidade estimada em meses, para cada EPI</t>
        </r>
      </text>
    </comment>
    <comment ref="D196" authorId="0">
      <text>
        <r>
          <rPr>
            <sz val="10"/>
            <color rgb="FF000000"/>
            <rFont val="Arial"/>
            <scheme val="minor"/>
          </rPr>
          <t>======
ID#AAAA6ExiLwY
Clauber Bridi    (2022-08-23 13:58:08)
Informar o valor mensal de higienização de uniforme para 1 funcionário</t>
        </r>
      </text>
    </comment>
    <comment ref="C210" authorId="0">
      <text>
        <r>
          <rPr>
            <sz val="10"/>
            <color rgb="FF000000"/>
            <rFont val="Arial"/>
            <scheme val="minor"/>
          </rPr>
          <t>======
ID#AAAA6ExiLt4
Clauber Bridi    (2022-08-23 13:58:08)
Informar a vida útil estimada para o caminhão, em anos</t>
        </r>
      </text>
    </comment>
    <comment ref="C211" authorId="0">
      <text>
        <r>
          <rPr>
            <sz val="10"/>
            <color rgb="FF000000"/>
            <rFont val="Arial"/>
            <scheme val="minor"/>
          </rPr>
          <t>======
ID#AAAA6ExiLsk
Clauber Bridi    (2022-08-23 13:58:08)
Na elaboração do orçamento-base da licitação, informar 0 (zero). Na proposta da licitante, informar a idade do veículo proposto.</t>
        </r>
      </text>
    </comment>
    <comment ref="C212" authorId="0">
      <text>
        <r>
          <rPr>
            <sz val="10"/>
            <color rgb="FF000000"/>
            <rFont val="Arial"/>
            <scheme val="minor"/>
          </rPr>
          <t>======
ID#AAAA6ExiLsE
Clauber Bridi    (2022-08-23 13:58:08)
Informar o valor da depreciação do caminhão, adotando o valor sugerido pelo TCE ou outro valor estimado</t>
        </r>
      </text>
    </comment>
    <comment ref="C215" authorId="0">
      <text>
        <r>
          <rPr>
            <sz val="10"/>
            <color rgb="FF000000"/>
            <rFont val="Arial"/>
            <scheme val="minor"/>
          </rPr>
          <t>======
ID#AAAA6ExiLwM
Clauber Bridi    (2022-08-23 13:58:08)
Informar a vida útil estimada para o compactador, em anos</t>
        </r>
      </text>
    </comment>
    <comment ref="C217" authorId="0">
      <text>
        <r>
          <rPr>
            <sz val="10"/>
            <color rgb="FF000000"/>
            <rFont val="Arial"/>
            <scheme val="minor"/>
          </rPr>
          <t>======
ID#AAAA6ExiLvI
Clauber Bridi    (2022-08-23 13:58:08)
Informar o valor da depreciação do compactador, adotando o valor sugerido pelo TCE ou outro valor estimado</t>
        </r>
      </text>
    </comment>
    <comment ref="C227" authorId="0">
      <text>
        <r>
          <rPr>
            <sz val="10"/>
            <color rgb="FF000000"/>
            <rFont val="Arial"/>
            <scheme val="minor"/>
          </rPr>
          <t>======
ID#AAAA6ExiLpc
Clauber Bridi    (2022-08-23 13:58:08)
Informar a taxa de juros anual para remuneração do capital. Recomenda-se o uso da Taxa SELIC</t>
        </r>
      </text>
    </comment>
    <comment ref="D245" authorId="0">
      <text>
        <r>
          <rPr>
            <sz val="10"/>
            <color rgb="FF000000"/>
            <rFont val="Arial"/>
            <scheme val="minor"/>
          </rPr>
          <t>======
ID#AAAA6ExiLos
Clauber Bridi    (2022-08-23 13:58:08)
Informar o valor do seguro contra terceiros de um caminhão, se houver previsão no Projeto Básico</t>
        </r>
      </text>
    </comment>
    <comment ref="C254" authorId="0">
      <text>
        <r>
          <rPr>
            <sz val="10"/>
            <color rgb="FF000000"/>
            <rFont val="Arial"/>
            <scheme val="minor"/>
          </rPr>
          <t>======
ID#AAAA6ExiLvA
Clauber Bridi    (2022-08-23 13:58:08)
Informar o consumo estimado do veículo em km/l</t>
        </r>
      </text>
    </comment>
    <comment ref="C258" authorId="0">
      <text>
        <r>
          <rPr>
            <sz val="10"/>
            <color rgb="FF000000"/>
            <rFont val="Arial"/>
            <scheme val="minor"/>
          </rPr>
          <t>======
ID#AAAA6ExiLqE
Clauber Bridi    (2022-08-23 13:58:08)
Informar o consumo de óleo do motor a cada 1000km</t>
        </r>
      </text>
    </comment>
    <comment ref="C260" authorId="0">
      <text>
        <r>
          <rPr>
            <sz val="10"/>
            <color rgb="FF000000"/>
            <rFont val="Arial"/>
            <scheme val="minor"/>
          </rPr>
          <t>======
ID#AAAA6ExiLtA
Clauber Bridi    (2022-08-23 13:58:08)
Informar o consumo de óleo da transmissão a cada 1000km</t>
        </r>
      </text>
    </comment>
    <comment ref="D260" authorId="0">
      <text>
        <r>
          <rPr>
            <sz val="10"/>
            <color rgb="FF000000"/>
            <rFont val="Arial"/>
            <scheme val="minor"/>
          </rPr>
          <t>======
ID#AAAA6ExiLvY
Clauber Bridi    (2022-08-23 13:58:08)
Informar o preço unitário do litro do óleo da transmissão</t>
        </r>
      </text>
    </comment>
    <comment ref="C262" authorId="0">
      <text>
        <r>
          <rPr>
            <sz val="10"/>
            <color rgb="FF000000"/>
            <rFont val="Arial"/>
            <scheme val="minor"/>
          </rPr>
          <t>======
ID#AAAA6ExiLp8
Clauber Bridi    (2022-08-23 13:58:08)
Informar o consumo de óleo hidráulico a cada 1000km</t>
        </r>
      </text>
    </comment>
    <comment ref="D262" authorId="0">
      <text>
        <r>
          <rPr>
            <sz val="10"/>
            <color rgb="FF000000"/>
            <rFont val="Arial"/>
            <scheme val="minor"/>
          </rPr>
          <t>======
ID#AAAA6ExiLvE
Clauber Bridi    (2022-08-23 13:58:08)
Informar o preço unitário do litro do óleo hidráulico</t>
        </r>
      </text>
    </comment>
    <comment ref="C264" authorId="0">
      <text>
        <r>
          <rPr>
            <sz val="10"/>
            <color rgb="FF000000"/>
            <rFont val="Arial"/>
            <scheme val="minor"/>
          </rPr>
          <t>======
ID#AAAA6ExiLoA
Clauber Bridi    (2022-08-23 13:58:08)
Informar o consumo de graxa a cada 1000km</t>
        </r>
      </text>
    </comment>
    <comment ref="D264" authorId="0">
      <text>
        <r>
          <rPr>
            <sz val="10"/>
            <color rgb="FF000000"/>
            <rFont val="Arial"/>
            <scheme val="minor"/>
          </rPr>
          <t>======
ID#AAAA6ExiLsI
Clauber Bridi    (2022-08-23 13:58:08)
Informar o preço unitário do litro da graxa</t>
        </r>
      </text>
    </comment>
    <comment ref="C276" authorId="0">
      <text>
        <r>
          <rPr>
            <sz val="10"/>
            <color rgb="FF000000"/>
            <rFont val="Arial"/>
            <scheme val="minor"/>
          </rPr>
          <t>======
ID#AAAA6ExiLs8
Clauber Bridi    (2022-08-23 13:58:08)
Informar a quantidade de pneus novos de 1 caminhão</t>
        </r>
      </text>
    </comment>
    <comment ref="C277" authorId="0">
      <text>
        <r>
          <rPr>
            <sz val="10"/>
            <color rgb="FF000000"/>
            <rFont val="Arial"/>
            <scheme val="minor"/>
          </rPr>
          <t>======
ID#AAAA6ExiLrM
Clauber Bridi    (2022-08-23 13:58:08)
Informar o número de recapagens por pneu</t>
        </r>
      </text>
    </comment>
    <comment ref="D278" authorId="0">
      <text>
        <r>
          <rPr>
            <sz val="10"/>
            <color rgb="FF000000"/>
            <rFont val="Arial"/>
            <scheme val="minor"/>
          </rPr>
          <t>======
ID#AAAA6ExiLus
Clauber Bridi    (2022-08-23 13:58:08)
Informar o preço unitário de cada recapagem</t>
        </r>
      </text>
    </comment>
    <comment ref="C279" authorId="0">
      <text>
        <r>
          <rPr>
            <sz val="10"/>
            <color rgb="FF000000"/>
            <rFont val="Arial"/>
            <scheme val="minor"/>
          </rPr>
          <t>======
ID#AAAA6ExiLqI
Clauber Bridi    (2022-08-23 13:58:08)
Informar a durabilidade média dos pneus considerando todas as recapagens, em km</t>
        </r>
      </text>
    </comment>
    <comment ref="C288" authorId="0">
      <text>
        <r>
          <rPr>
            <sz val="10"/>
            <color rgb="FF000000"/>
            <rFont val="Arial"/>
            <scheme val="minor"/>
          </rPr>
          <t>======
ID#AAAA6ExiLsA
Clauber Bridi    (2022-08-23 13:58:08)
Informar a vida útil estimada para o caminhão, em anos</t>
        </r>
      </text>
    </comment>
    <comment ref="C289" authorId="0">
      <text>
        <r>
          <rPr>
            <sz val="10"/>
            <color rgb="FF000000"/>
            <rFont val="Arial"/>
            <scheme val="minor"/>
          </rPr>
          <t>======
ID#AAAA6ExiLpo
Clauber Bridi    (2022-08-23 13:58:08)
Na elaboração do orçamento-base da licitação, informar 0 (zero). Na proposta da licitante, informar a idade do veículo proposto.</t>
        </r>
      </text>
    </comment>
    <comment ref="C290" authorId="0">
      <text>
        <r>
          <rPr>
            <sz val="10"/>
            <color rgb="FF000000"/>
            <rFont val="Arial"/>
            <scheme val="minor"/>
          </rPr>
          <t>======
ID#AAAA6ExiLno
Clauber Bridi    (2022-08-23 13:58:08)
Informar o valor da depreciação do caminhão, adotando o valor sugerido pelo TCE ou outro valor estimado</t>
        </r>
      </text>
    </comment>
    <comment ref="D292" authorId="0">
      <text>
        <r>
          <rPr>
            <sz val="10"/>
            <color rgb="FF000000"/>
            <rFont val="Arial"/>
            <scheme val="minor"/>
          </rPr>
          <t>======
ID#AAAA6ExiLok
Clauber Bridi    (2022-08-23 13:58:08)
Informar o preço unitário do equipamento compactador</t>
        </r>
      </text>
    </comment>
    <comment ref="C293" authorId="0">
      <text>
        <r>
          <rPr>
            <sz val="10"/>
            <color rgb="FF000000"/>
            <rFont val="Arial"/>
            <scheme val="minor"/>
          </rPr>
          <t>======
ID#AAAA6ExiLvw
Clauber Bridi    (2022-08-23 13:58:08)
Informar a vida útil estimada para o compactador, em anos</t>
        </r>
      </text>
    </comment>
    <comment ref="C294" authorId="0">
      <text>
        <r>
          <rPr>
            <sz val="10"/>
            <color rgb="FF000000"/>
            <rFont val="Arial"/>
            <scheme val="minor"/>
          </rPr>
          <t>======
ID#AAAA6ExiLoQ
Clauber Bridi    (2022-08-23 13:58:08)
Na elaboração do orçamento-base da licitação, informar 0 (zero). Na proposta da licitante, informar a idade do compactador proposto.</t>
        </r>
      </text>
    </comment>
    <comment ref="C295" authorId="0">
      <text>
        <r>
          <rPr>
            <sz val="10"/>
            <color rgb="FF000000"/>
            <rFont val="Arial"/>
            <scheme val="minor"/>
          </rPr>
          <t>======
ID#AAAA6ExiLns
Clauber Bridi    (2022-08-23 13:58:08)
Informar o valor da depreciação do compactador, adotando o valor sugerido pelo TCE ou outro valor estimado</t>
        </r>
      </text>
    </comment>
    <comment ref="C298" authorId="0">
      <text>
        <r>
          <rPr>
            <sz val="10"/>
            <color rgb="FF000000"/>
            <rFont val="Arial"/>
            <scheme val="minor"/>
          </rPr>
          <t>======
ID#AAAA6ExiLro
Clauber Bridi    (2022-08-23 13:58:08)
Informar a quantidade de caminhões compactadores do respectivo modelo</t>
        </r>
      </text>
    </comment>
    <comment ref="C304" authorId="0">
      <text>
        <r>
          <rPr>
            <sz val="10"/>
            <color rgb="FF000000"/>
            <rFont val="Arial"/>
            <scheme val="minor"/>
          </rPr>
          <t>======
ID#AAAA6ExiLwc
Clauber Bridi    (2022-08-23 13:58:08)
Informar a taxa de juros anual para remuneração do capital. Recomenda-se o uso da Taxa SELIC</t>
        </r>
      </text>
    </comment>
    <comment ref="D320" authorId="0">
      <text>
        <r>
          <rPr>
            <sz val="10"/>
            <color rgb="FF000000"/>
            <rFont val="Arial"/>
            <scheme val="minor"/>
          </rPr>
          <t>======
ID#AAAA6ExiLwQ
Clauber Bridi    (2022-08-23 13:58:08)
Informar o valor do seguro obrigatório e licenciamento anual de um caminhão</t>
        </r>
      </text>
    </comment>
    <comment ref="D321" authorId="0">
      <text>
        <r>
          <rPr>
            <sz val="10"/>
            <color rgb="FF000000"/>
            <rFont val="Arial"/>
            <scheme val="minor"/>
          </rPr>
          <t>======
ID#AAAA6ExiLvo
Clauber Bridi    (2022-08-23 13:58:08)
Informar o valor do seguro contra terceiros de um caminhão, se houver previsão no Projeto Básico</t>
        </r>
      </text>
    </comment>
    <comment ref="C332" authorId="0">
      <text>
        <r>
          <rPr>
            <sz val="10"/>
            <color rgb="FF000000"/>
            <rFont val="Arial"/>
            <scheme val="minor"/>
          </rPr>
          <t>======
ID#AAAA6ExiLrg
Clauber Bridi    (2022-08-23 13:58:08)
Informar o consumo de óleo do motor a cada 1000km</t>
        </r>
      </text>
    </comment>
    <comment ref="C334" authorId="0">
      <text>
        <r>
          <rPr>
            <sz val="10"/>
            <color rgb="FF000000"/>
            <rFont val="Arial"/>
            <scheme val="minor"/>
          </rPr>
          <t>======
ID#AAAA6ExiLuI
Clauber Bridi    (2022-08-23 13:58:08)
Informar o consumo de óleo da transmissão a cada 1000km</t>
        </r>
      </text>
    </comment>
    <comment ref="D334" authorId="0">
      <text>
        <r>
          <rPr>
            <sz val="10"/>
            <color rgb="FF000000"/>
            <rFont val="Arial"/>
            <scheme val="minor"/>
          </rPr>
          <t>======
ID#AAAA6ExiLp4
Clauber Bridi    (2022-08-23 13:58:08)
Informar o preço unitário do litro do óleo da transmissão</t>
        </r>
      </text>
    </comment>
    <comment ref="C336" authorId="0">
      <text>
        <r>
          <rPr>
            <sz val="10"/>
            <color rgb="FF000000"/>
            <rFont val="Arial"/>
            <scheme val="minor"/>
          </rPr>
          <t>======
ID#AAAA6ExiLsQ
Clauber Bridi    (2022-08-23 13:58:08)
Informar o consumo de óleo hidráulico a cada 1000km</t>
        </r>
      </text>
    </comment>
    <comment ref="D336" authorId="0">
      <text>
        <r>
          <rPr>
            <sz val="10"/>
            <color rgb="FF000000"/>
            <rFont val="Arial"/>
            <scheme val="minor"/>
          </rPr>
          <t>======
ID#AAAA6ExiLuw
Clauber Bridi    (2022-08-23 13:58:08)
Informar o preço unitário do litro do óleo hidráulico</t>
        </r>
      </text>
    </comment>
    <comment ref="C338" authorId="0">
      <text>
        <r>
          <rPr>
            <sz val="10"/>
            <color rgb="FF000000"/>
            <rFont val="Arial"/>
            <scheme val="minor"/>
          </rPr>
          <t>======
ID#AAAA6ExiLnU
Clauber Bridi    (2022-08-23 13:58:08)
Informar o consumo de graxa a cada 1000km</t>
        </r>
      </text>
    </comment>
    <comment ref="D338" authorId="0">
      <text>
        <r>
          <rPr>
            <sz val="10"/>
            <color rgb="FF000000"/>
            <rFont val="Arial"/>
            <scheme val="minor"/>
          </rPr>
          <t>======
ID#AAAA6ExiLq0
Clauber Bridi    (2022-08-23 13:58:08)
Informar o preço unitário do litro da graxa</t>
        </r>
      </text>
    </comment>
    <comment ref="C350" authorId="0">
      <text>
        <r>
          <rPr>
            <sz val="10"/>
            <color rgb="FF000000"/>
            <rFont val="Arial"/>
            <scheme val="minor"/>
          </rPr>
          <t>======
ID#AAAA6ExiLtM
Clauber Bridi    (2022-08-23 13:58:08)
Informar a quantidade de pneus novos de 1 caminhão</t>
        </r>
      </text>
    </comment>
    <comment ref="D350" authorId="0">
      <text>
        <r>
          <rPr>
            <sz val="10"/>
            <color rgb="FF000000"/>
            <rFont val="Arial"/>
            <scheme val="minor"/>
          </rPr>
          <t>======
ID#AAAA6ExiLso
Clauber Bridi    (2022-08-23 13:58:08)
Informar o preço unitário de cada pneu</t>
        </r>
      </text>
    </comment>
    <comment ref="C351" authorId="0">
      <text>
        <r>
          <rPr>
            <sz val="10"/>
            <color rgb="FF000000"/>
            <rFont val="Arial"/>
            <scheme val="minor"/>
          </rPr>
          <t>======
ID#AAAA6ExiLvc
Clauber Bridi    (2022-08-23 13:58:08)
Informar o número de recapagens por pneu</t>
        </r>
      </text>
    </comment>
    <comment ref="D352" authorId="0">
      <text>
        <r>
          <rPr>
            <sz val="10"/>
            <color rgb="FF000000"/>
            <rFont val="Arial"/>
            <scheme val="minor"/>
          </rPr>
          <t>======
ID#AAAA6ExiLw4
Clauber Bridi    (2022-08-23 13:58:08)
Informar o preço unitário de cada recapagem</t>
        </r>
      </text>
    </comment>
    <comment ref="C353" authorId="0">
      <text>
        <r>
          <rPr>
            <sz val="10"/>
            <color rgb="FF000000"/>
            <rFont val="Arial"/>
            <scheme val="minor"/>
          </rPr>
          <t>======
ID#AAAA6ExiLqg
Clauber Bridi    (2022-08-23 13:58:08)
Informar a durabilidade média dos pneus considerando todas as recapagens, em km</t>
        </r>
      </text>
    </comment>
    <comment ref="C363" authorId="0">
      <text>
        <r>
          <rPr>
            <sz val="10"/>
            <color rgb="FF000000"/>
            <rFont val="Arial"/>
            <scheme val="minor"/>
          </rPr>
          <t>======
ID#AAAA6ExiLng
Clauber Bridi    (2022-08-23 13:58:08)
Informar a quantidade estimada por mês. Por exemplo, se a durabilidade estimada é de 6 meses, informar 1/6; se a durabilidade estimada é de 3 meses informar 1/3, etc..</t>
        </r>
      </text>
    </comment>
    <comment ref="D363" authorId="0">
      <text>
        <r>
          <rPr>
            <sz val="10"/>
            <color rgb="FF000000"/>
            <rFont val="Arial"/>
            <scheme val="minor"/>
          </rPr>
          <t>======
ID#AAAA6ExiLn4
Clauber Bridi    (2022-08-23 13:58:08)
Informar o valor unitário estimado para aquisição de cada material</t>
        </r>
      </text>
    </comment>
    <comment ref="C365" authorId="0">
      <text>
        <r>
          <rPr>
            <sz val="10"/>
            <color rgb="FF000000"/>
            <rFont val="Arial"/>
            <scheme val="minor"/>
          </rPr>
          <t>======
ID#AAAA6ExiLrk
Clauber Bridi    (2022-08-23 13:58:08)
Informar a quantidade estimada por mês. Por exemplo, se a durabilidade estimada é de 6 meses, informar 1/6; se a durabilidade estimada é de 3 meses informar 1/3, etc..</t>
        </r>
      </text>
    </comment>
    <comment ref="C366" authorId="0">
      <text>
        <r>
          <rPr>
            <sz val="10"/>
            <color rgb="FF000000"/>
            <rFont val="Arial"/>
            <scheme val="minor"/>
          </rPr>
          <t>======
ID#AAAA6ExiLog
Clauber Bridi    (2022-08-23 13:58:08)
Informar a quantidade estimada por mês. Por exemplo, se a durabilidade estimada é de 6 meses, informar 1/6; se a durabilidade estimada é de 3 meses informar 1/3, etc..</t>
        </r>
      </text>
    </comment>
    <comment ref="A371" authorId="0">
      <text>
        <r>
          <rPr>
            <sz val="10"/>
            <color rgb="FF000000"/>
            <rFont val="Arial"/>
            <scheme val="minor"/>
          </rPr>
          <t>======
ID#AAAA6ExiLpQ
Clauber Bridi    (2022-08-23 13:58:08)
Especificar somente quando for exigido no Projeto Básico</t>
        </r>
      </text>
    </comment>
    <comment ref="D374" authorId="0">
      <text>
        <r>
          <rPr>
            <sz val="10"/>
            <color rgb="FF000000"/>
            <rFont val="Arial"/>
            <scheme val="minor"/>
          </rPr>
          <t>======
ID#AAAA6ExiLtk
Clauber Bridi    (2022-08-23 13:58:08)
Informar o valor total para instalação do equipamento de monitoramento da frota, se houver previsão no Projeto Básico</t>
        </r>
      </text>
    </comment>
    <comment ref="D376" authorId="0">
      <text>
        <r>
          <rPr>
            <sz val="10"/>
            <color rgb="FF000000"/>
            <rFont val="Arial"/>
            <scheme val="minor"/>
          </rPr>
          <t>======
ID#AAAA6ExiLtY
Clauber Bridi    (2022-08-23 13:58:08)
Informar o valor unitário mensal para manutenção dos equipamentos de monitoramento</t>
        </r>
      </text>
    </comment>
    <comment ref="C387" authorId="0">
      <text>
        <r>
          <rPr>
            <sz val="10"/>
            <color rgb="FF000000"/>
            <rFont val="Arial"/>
            <scheme val="minor"/>
          </rPr>
          <t>======
ID#AAAA6ExiLvQ
Clauber Bridi    (2022-08-23 13:58:08)
Preencher a aba 4.BDI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k582a8TXKhGmyY2hNCYNx2RCUeA=="/>
    </ext>
  </extLst>
</comments>
</file>

<file path=xl/comments2.xml><?xml version="1.0" encoding="utf-8"?>
<comments xmlns="http://schemas.openxmlformats.org/spreadsheetml/2006/main">
  <authors>
    <author/>
  </authors>
  <commentList>
    <comment ref="C5" authorId="0">
      <text>
        <r>
          <rPr>
            <sz val="10"/>
            <color rgb="FF000000"/>
            <rFont val="Arial"/>
            <scheme val="minor"/>
          </rPr>
          <t>======
ID#AAAA6ExiLuM
Clauber Bridi    (2022-08-23 13:58:08)
Informar o % de Administração Central estimado</t>
        </r>
      </text>
    </comment>
    <comment ref="C6" authorId="0">
      <text>
        <r>
          <rPr>
            <sz val="10"/>
            <color rgb="FF000000"/>
            <rFont val="Arial"/>
            <scheme val="minor"/>
          </rPr>
          <t>======
ID#AAAA6ExiLpw
Clauber Bridi    (2022-08-23 13:58:08)
Informar o % de Seguros, Riscos e Garantia estimado</t>
        </r>
      </text>
    </comment>
    <comment ref="E8" authorId="0">
      <text>
        <r>
          <rPr>
            <sz val="10"/>
            <color rgb="FF000000"/>
            <rFont val="Arial"/>
            <scheme val="minor"/>
          </rPr>
          <t>======
ID#AAAA6ExiLs4
Clauber Bridi    (2022-08-23 13:58:08)
Informar o valor anual da taxa financeira, em percentual. Admite-se utilizar a SELIC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ZjmTCTt7EvLS3qdFWpGD/1AUw/A=="/>
    </ext>
  </extLst>
</comments>
</file>

<file path=xl/sharedStrings.xml><?xml version="1.0" encoding="utf-8"?>
<sst xmlns="http://schemas.openxmlformats.org/spreadsheetml/2006/main" count="718" uniqueCount="328">
  <si>
    <t xml:space="preserve">1. Coleta de Resíduos Sólidos </t>
  </si>
  <si>
    <t>Planilha de Composição de Custos</t>
  </si>
  <si>
    <t>Orçamento Sintético</t>
  </si>
  <si>
    <t>Descrição do Item</t>
  </si>
  <si>
    <t>Custo (R$/mês)</t>
  </si>
  <si>
    <t>%</t>
  </si>
  <si>
    <t>3.1.1. Depreciação</t>
  </si>
  <si>
    <t>3.1.2. Remuneração do Capital</t>
  </si>
  <si>
    <t>PREÇO TOTAL MENSAL COM A COLETA</t>
  </si>
  <si>
    <t>Quantitativos</t>
  </si>
  <si>
    <t>Mão-de-obra</t>
  </si>
  <si>
    <t>Quantidade</t>
  </si>
  <si>
    <t>Total de mão-de-obra (postos de trabalho)</t>
  </si>
  <si>
    <t>Veículos e Equipamentos</t>
  </si>
  <si>
    <t>Fator de utilização (FU)</t>
  </si>
  <si>
    <t>1. Mão-de-obra</t>
  </si>
  <si>
    <t>1.1. Coletor de lixo domiciliar - CBO 5142 (CCT RS000040/2025) - Jornada integral</t>
  </si>
  <si>
    <t>Discriminação</t>
  </si>
  <si>
    <t>Unidade</t>
  </si>
  <si>
    <t>Custo unitário</t>
  </si>
  <si>
    <t>Subtotal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</si>
  <si>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</si>
  <si>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Piso da categoria</t>
  </si>
  <si>
    <t>mês</t>
  </si>
  <si>
    <t>Horas Extras (100%)</t>
  </si>
  <si>
    <t>hora</t>
  </si>
  <si>
    <t>Horas Extras (50%)</t>
  </si>
  <si>
    <t>Descanso Semanal Remunerado (DSR) - hora extra</t>
  </si>
  <si>
    <t>R$</t>
  </si>
  <si>
    <t>Adicional de Insalubridade</t>
  </si>
  <si>
    <t>Soma</t>
  </si>
  <si>
    <t>Encargos Sociais</t>
  </si>
  <si>
    <t>Total por Coletor</t>
  </si>
  <si>
    <t>Total do Efetivo</t>
  </si>
  <si>
    <t>homem</t>
  </si>
  <si>
    <t>Fator de utilização</t>
  </si>
  <si>
    <t>1.2. Coletor de lixo domiciliar - CBO 5142 (CCT RS000040/2025) - Metade da jornada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</si>
  <si>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</si>
  <si>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1.3. Motorista turno dia - CBO 7825 (CCT RS001610/2024) - Jornada integral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</si>
  <si>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</si>
  <si>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Piso da categoria (2)</t>
  </si>
  <si>
    <t>Salário mínimo nacional (1)</t>
  </si>
  <si>
    <t>Base de cálculo da Insalubridade</t>
  </si>
  <si>
    <t>Total por Motorista</t>
  </si>
  <si>
    <t>1.4. Motorista turno dia - CBO 7825 (CCT RS001610/2024) - Metade da jornada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</si>
  <si>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</si>
  <si>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1.5. Gerente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</si>
  <si>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</si>
  <si>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Total por Gerente</t>
  </si>
  <si>
    <t>1.6. Vale Transporte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</si>
  <si>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</si>
  <si>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Vale Transporte</t>
  </si>
  <si>
    <t>Dias trabalhados por mês (jornada integral)</t>
  </si>
  <si>
    <t>dia</t>
  </si>
  <si>
    <t>Dias trabalhados por mês (metade da jornada)</t>
  </si>
  <si>
    <t>Coletor (jornada integral)</t>
  </si>
  <si>
    <t>vale</t>
  </si>
  <si>
    <t>Coletor (metade da jornada)</t>
  </si>
  <si>
    <t>Motorista (jornada integral)</t>
  </si>
  <si>
    <t>Motorista (metade da jornada)</t>
  </si>
  <si>
    <t>Gerente</t>
  </si>
  <si>
    <t>1.7.  Auxílio refeição (diário)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</si>
  <si>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</si>
  <si>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unidade</t>
  </si>
  <si>
    <t>1.8. Auxílio alimentação - cesta básica (mensal)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</si>
  <si>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</si>
  <si>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1.9. Plano de Beneficio Social Familiar (mensal)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</si>
  <si>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</si>
  <si>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-</t>
  </si>
  <si>
    <t>Custo Mensal com Mão-de-obra (R$/mês)</t>
  </si>
  <si>
    <t>2. Uniformes e Equipamentos de Proteção Individual</t>
  </si>
  <si>
    <t>2.1. Uniformes e EPIs para Coletor</t>
  </si>
  <si>
    <t>Durabilidade (meses)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</si>
  <si>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</si>
  <si>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Jaqueta com reflexivo (NBR 15.292)</t>
  </si>
  <si>
    <t>Calça</t>
  </si>
  <si>
    <t>Camiseta</t>
  </si>
  <si>
    <t>Boné</t>
  </si>
  <si>
    <t>Botina de segurança c/ biqueira de aço</t>
  </si>
  <si>
    <t>par</t>
  </si>
  <si>
    <t>Meia de algodão com cano alto</t>
  </si>
  <si>
    <t>Capa de chuva amarela com reflexivo</t>
  </si>
  <si>
    <t>Colete reflexivo</t>
  </si>
  <si>
    <t>Luva de proteção</t>
  </si>
  <si>
    <t>Protetor solar FPS 30</t>
  </si>
  <si>
    <t>frasco 120g</t>
  </si>
  <si>
    <t>Higienização de uniformes e EPIs</t>
  </si>
  <si>
    <t>R$ mensal</t>
  </si>
  <si>
    <t>2.2. Uniformes e EPIs para demais categorias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</si>
  <si>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</si>
  <si>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Botina de segurança c/ biqueira aço</t>
  </si>
  <si>
    <t>Custo Mensal com Uniformes e EPIs (R$/mês)</t>
  </si>
  <si>
    <t>3. Veículos e Equipamentos</t>
  </si>
  <si>
    <r>
      <rPr>
        <b/>
        <sz val="10"/>
        <color theme="1"/>
        <rFont val="Arial"/>
      </rPr>
      <t>3.1. Caminhão coletor compactador</t>
    </r>
    <r>
      <rPr>
        <b/>
        <sz val="10"/>
        <color rgb="FFFF0000"/>
        <rFont val="Arial"/>
      </rPr>
      <t xml:space="preserve"> </t>
    </r>
    <r>
      <rPr>
        <b/>
        <sz val="10"/>
        <color theme="1"/>
        <rFont val="Arial"/>
      </rPr>
      <t>12 m³</t>
    </r>
  </si>
  <si>
    <t>Quantidade (meses)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</si>
  <si>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</si>
  <si>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aquisição do chassis (caminhão com compactador)</t>
  </si>
  <si>
    <t>Sistema de basculamento de contêiner</t>
  </si>
  <si>
    <t>Vida útil do chassis</t>
  </si>
  <si>
    <t>anos</t>
  </si>
  <si>
    <t>Idade do veículo</t>
  </si>
  <si>
    <t>Depreciação do chassis</t>
  </si>
  <si>
    <t>Depreciação mensal veículos coletores</t>
  </si>
  <si>
    <t>Custo de aquisição do compactador</t>
  </si>
  <si>
    <t>Vida útil do compactador</t>
  </si>
  <si>
    <t>Idade do compactador</t>
  </si>
  <si>
    <t>Depreciação do compactador</t>
  </si>
  <si>
    <t>Depreciação mensal do compactador</t>
  </si>
  <si>
    <t>Total por veículo</t>
  </si>
  <si>
    <t>Total da frota</t>
  </si>
  <si>
    <t>Obs.: Foi prevista a remuneração de 10% que contempla eventual necessidade de substituição de equipamentos coletores que estiverem fora de operação conforme orientação do TCE/RS (Item 3.8 da Orientação Técnica).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</si>
  <si>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</si>
  <si>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do chassis</t>
  </si>
  <si>
    <t>Taxa de juros anual nominal</t>
  </si>
  <si>
    <t>Valor do veículo proposto (V0)</t>
  </si>
  <si>
    <t>Investimento médio total do chassis</t>
  </si>
  <si>
    <t>Remuneração mensal de capital do chassis</t>
  </si>
  <si>
    <t>Custo do compactador</t>
  </si>
  <si>
    <t>Valor do compactador proposto (V0)</t>
  </si>
  <si>
    <t>Investimento médio total do compactador</t>
  </si>
  <si>
    <t>Remuneração mensal de capital do compactador</t>
  </si>
  <si>
    <t>3.1.3. Impostos e Seguros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</si>
  <si>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</si>
  <si>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IPVA</t>
  </si>
  <si>
    <t>Licenciamento e Seguro obrigatório</t>
  </si>
  <si>
    <t>Seguro contra terceiros</t>
  </si>
  <si>
    <t>Impostos e seguros mensais</t>
  </si>
  <si>
    <t>3.1.4. Consumos</t>
  </si>
  <si>
    <t>Quilometragem mensal</t>
  </si>
  <si>
    <t>Consumo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</si>
  <si>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</si>
  <si>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óleo diesel / km rodado</t>
  </si>
  <si>
    <t>km/l</t>
  </si>
  <si>
    <t>Custo mensal com óleo diesel</t>
  </si>
  <si>
    <t>km</t>
  </si>
  <si>
    <t>Arla 32</t>
  </si>
  <si>
    <t>Custo mensal com Arla 32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</si>
  <si>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</si>
  <si>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</si>
  <si>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</si>
  <si>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</si>
  <si>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</si>
  <si>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</si>
  <si>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</si>
  <si>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</si>
  <si>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</si>
  <si>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com consumos/km rodado</t>
  </si>
  <si>
    <t>R$/km rodado</t>
  </si>
  <si>
    <t>3.1.5. Manutenção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</si>
  <si>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</si>
  <si>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manutenção dos caminhões</t>
  </si>
  <si>
    <t>3.1.6. Pneus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</si>
  <si>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</si>
  <si>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do jogo de pneus 275/80 R22,5"</t>
  </si>
  <si>
    <t>Número de recapagens por pneu</t>
  </si>
  <si>
    <t>Custo de recapagem</t>
  </si>
  <si>
    <r>
      <rPr>
        <sz val="10"/>
        <color theme="1"/>
        <rFont val="Arial"/>
      </rPr>
      <t>Custo jg. compl. + 1</t>
    </r>
    <r>
      <rPr>
        <sz val="10"/>
        <color theme="1"/>
        <rFont val="Arial"/>
      </rPr>
      <t xml:space="preserve"> recap./ km rodado</t>
    </r>
  </si>
  <si>
    <t>km/jogo</t>
  </si>
  <si>
    <t>Custo mensal com pneus</t>
  </si>
  <si>
    <t>3.2. Veículo picape 4x2</t>
  </si>
  <si>
    <t>3.2.1. Depreciação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</si>
  <si>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</si>
  <si>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aquisição do chassis</t>
  </si>
  <si>
    <t>Custo de aquisição da carroceria</t>
  </si>
  <si>
    <t>Vida útil da carroceria</t>
  </si>
  <si>
    <t>Idade da carroceria</t>
  </si>
  <si>
    <t>Depreciação da carroceria</t>
  </si>
  <si>
    <t>Depreciação mensal da carroceria</t>
  </si>
  <si>
    <t>3.2.2. Remuneração do Capital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</si>
  <si>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</si>
  <si>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3.2.3. Impostos e Seguros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</si>
  <si>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</si>
  <si>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3.2.4. Consumos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</si>
  <si>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</si>
  <si>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gasolina/ km rodado</t>
  </si>
  <si>
    <t>Custo mensal com gasolina</t>
  </si>
  <si>
    <t>Custo mensal com graxa</t>
  </si>
  <si>
    <t>3.2.5. Manutenção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</si>
  <si>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</si>
  <si>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de manutenção da caminhonete</t>
  </si>
  <si>
    <t>3.2.6. Pneus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</si>
  <si>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</si>
  <si>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Custo do jogo de pneus 215/80 R16"</t>
  </si>
  <si>
    <t>Custo jg. compl. + 0 recap./ km rodado</t>
  </si>
  <si>
    <t>Custo Mensal com Veículos e Equipamentos (R$/mês)</t>
  </si>
  <si>
    <t>4. Ferramentas e Materiais de Consumo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</si>
  <si>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</si>
  <si>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Recipiente térmico para água (5L)</t>
  </si>
  <si>
    <t>Pá de Concha</t>
  </si>
  <si>
    <t>Forcado</t>
  </si>
  <si>
    <t>Vassoura</t>
  </si>
  <si>
    <t>Publicidade (adesivos veículos)</t>
  </si>
  <si>
    <t>cj</t>
  </si>
  <si>
    <t>Custo Mensal com Ferramentas e Materiais de Consumo (R$/mês)</t>
  </si>
  <si>
    <t>5. Monitoramento da Frota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</si>
  <si>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</si>
  <si>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Implantação dos equipamentos de monitoramento</t>
  </si>
  <si>
    <t>Custo mensal com implantação</t>
  </si>
  <si>
    <t>Manutenção dos equipamentos de monitoramento</t>
  </si>
  <si>
    <t>Custo mensal com manutenção</t>
  </si>
  <si>
    <t>Custo Mensal com Monitoramento da Frota (R$/mês)</t>
  </si>
  <si>
    <t>CUSTO TOTAL MENSAL COM DESPESAS OPERACIONAIS (R$/mês)</t>
  </si>
  <si>
    <t>6. Benefícios e Despesas Indiretas - BDI</t>
  </si>
  <si>
    <r>
      <rPr>
        <b/>
        <sz val="10"/>
        <color theme="1"/>
        <rFont val="Arial"/>
      </rPr>
      <t xml:space="preserve">Total </t>
    </r>
    <r>
      <rPr>
        <b/>
        <u/>
        <sz val="10"/>
        <color theme="1"/>
        <rFont val="Arial"/>
      </rPr>
      <t>(R$)</t>
    </r>
  </si>
  <si>
    <t>Benefícios e despesas indiretas</t>
  </si>
  <si>
    <t>CUSTO MENSAL COM BDI (R$/mês)</t>
  </si>
  <si>
    <t>PREÇO MENSAL TOTAL (R$/mês)</t>
  </si>
  <si>
    <t>Quantidade média de resíduos coletados por mês</t>
  </si>
  <si>
    <t>toneladas</t>
  </si>
  <si>
    <t>PREÇO POR TONELADA COLETADA:  [A/B]</t>
  </si>
  <si>
    <t>R$/tonelada</t>
  </si>
  <si>
    <t>Orientações para preenchimento:</t>
  </si>
  <si>
    <t>1. Preencha previamente os dados de entrada na planilha 3.CAGED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</si>
  <si>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</si>
  <si>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</si>
  <si>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</si>
  <si>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</si>
  <si>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</si>
  <si>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</si>
  <si>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</si>
  <si>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</si>
  <si>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</si>
  <si>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</si>
  <si>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</si>
  <si>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</si>
  <si>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</si>
  <si>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</si>
  <si>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</si>
  <si>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</si>
  <si>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</si>
  <si>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</si>
  <si>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</si>
  <si>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</si>
  <si>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</si>
  <si>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</si>
  <si>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</si>
  <si>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</si>
  <si>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</si>
  <si>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</si>
  <si>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</si>
  <si>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</si>
  <si>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</si>
  <si>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</si>
  <si>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</si>
  <si>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</si>
  <si>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</si>
  <si>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</si>
  <si>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</si>
  <si>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</si>
  <si>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</si>
  <si>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</si>
  <si>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</si>
  <si>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</si>
  <si>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</si>
  <si>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</si>
  <si>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</si>
  <si>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</si>
  <si>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</si>
  <si>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</si>
  <si>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</si>
  <si>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</si>
  <si>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</si>
  <si>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</si>
  <si>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</si>
  <si>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</si>
  <si>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</si>
  <si>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</si>
  <si>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</si>
  <si>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CÁLCULO DAS VERBAS INDENIZATÓRIAS DOS EMPREGADOS NO SETOR DE COLETA DE RSU</t>
  </si>
  <si>
    <t>3. CAGED</t>
  </si>
  <si>
    <t>Rio Grande do Sul  - Coleta de Resíduos Não-Perigosos - CNAE 38114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</si>
  <si>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</si>
  <si>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</si>
  <si>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</si>
  <si>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</si>
  <si>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</si>
  <si>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</si>
  <si>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</si>
  <si>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</si>
  <si>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</si>
  <si>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</si>
  <si>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</si>
  <si>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</si>
  <si>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recuperado início do Período 01-01-2019</t>
  </si>
  <si>
    <t>Estoque recuperado final do Período 31-12-2019</t>
  </si>
  <si>
    <t>Variação Emprego Absoluta de 01-01-2019 a 31-12-2019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</si>
  <si>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</si>
  <si>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</si>
  <si>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</si>
  <si>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</si>
  <si>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</si>
  <si>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</si>
  <si>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</si>
  <si>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</si>
  <si>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</si>
  <si>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Multa FGTS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</si>
  <si>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</si>
  <si>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</si>
  <si>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</si>
  <si>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</si>
  <si>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</si>
  <si>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</si>
  <si>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</si>
  <si>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</si>
  <si>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</si>
  <si>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</si>
  <si>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</si>
  <si>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</si>
  <si>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</si>
  <si>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</si>
  <si>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</si>
  <si>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</si>
  <si>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</si>
  <si>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</si>
  <si>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</si>
  <si>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</si>
  <si>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</si>
  <si>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5. Depreciação Referencial TCE/RS (%)</t>
  </si>
  <si>
    <t>Idade do veículo (ano)</t>
  </si>
  <si>
    <t>Depreciação Média</t>
  </si>
  <si>
    <t>6. Remuneração de Capital</t>
  </si>
  <si>
    <t>Fórmula de cálculo da remuneração de capital:</t>
  </si>
  <si>
    <r>
      <rPr>
        <sz val="12"/>
        <color theme="1"/>
        <rFont val="Arial"/>
      </rPr>
      <t>J</t>
    </r>
    <r>
      <rPr>
        <vertAlign val="subscript"/>
        <sz val="12"/>
        <color rgb="FF000000"/>
        <rFont val="Arial"/>
      </rPr>
      <t>m</t>
    </r>
    <r>
      <rPr>
        <sz val="12"/>
        <color rgb="FF000000"/>
        <rFont val="Arial"/>
      </rPr>
      <t xml:space="preserve"> = remuneração de capital mensal</t>
    </r>
  </si>
  <si>
    <t>i = taxa de juros do mercado (sugere-se adotar a taxa SELIC)</t>
  </si>
  <si>
    <t>Im = investimento médio</t>
  </si>
  <si>
    <r>
      <rPr>
        <sz val="12"/>
        <color theme="1"/>
        <rFont val="Arial"/>
      </rPr>
      <t>V</t>
    </r>
    <r>
      <rPr>
        <vertAlign val="subscript"/>
        <sz val="12"/>
        <color rgb="FF000000"/>
        <rFont val="Arial"/>
      </rPr>
      <t>0</t>
    </r>
    <r>
      <rPr>
        <sz val="12"/>
        <color rgb="FF000000"/>
        <rFont val="Arial"/>
      </rPr>
      <t xml:space="preserve"> = valor inicial do bem</t>
    </r>
  </si>
  <si>
    <r>
      <rPr>
        <sz val="12"/>
        <color theme="1"/>
        <rFont val="Arial"/>
      </rPr>
      <t>V</t>
    </r>
    <r>
      <rPr>
        <vertAlign val="subscript"/>
        <sz val="12"/>
        <color rgb="FF000000"/>
        <rFont val="Arial"/>
      </rPr>
      <t>r</t>
    </r>
    <r>
      <rPr>
        <sz val="12"/>
        <color rgb="FF000000"/>
        <rFont val="Arial"/>
      </rPr>
      <t xml:space="preserve"> = valor residual do bem</t>
    </r>
  </si>
  <si>
    <t>n = vida útil do bem em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</si>
</sst>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&quot;R$ &quot;#,##0.00"/>
    <numFmt numFmtId="166" formatCode="&quot;R$ &quot;#,##0.00_);\(&quot;R$ &quot;#,##0.00\)"/>
    <numFmt numFmtId="167" formatCode="_(* #,##0_);_(* \(#,##0\);_(* &quot;-&quot;??_);_(@_)"/>
    <numFmt numFmtId="168" formatCode="_-* #,##0.00_-;\-* #,##0.00_-;_-* &quot;-&quot;??_-;_-@"/>
    <numFmt numFmtId="169" formatCode="_(* #,##0.000_);_(* \(#,##0.000\);_(* &quot;-&quot;??_);_(@_)"/>
    <numFmt numFmtId="170" formatCode="_(* #,##0.000000_);_(* \(#,##0.000000\);_(* &quot;-&quot;??_);_(@_)"/>
    <numFmt numFmtId="171" formatCode="0.0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sz val="8"/>
      <color theme="1"/>
      <name val="Arial"/>
    </font>
    <font>
      <sz val="10"/>
      <color theme="1"/>
      <name val="Arial"/>
    </font>
    <font>
      <u/>
      <sz val="10"/>
      <color rgb="FF0000FF"/>
      <name val="Arial"/>
    </font>
    <font>
      <b/>
      <u/>
      <sz val="10"/>
      <color rgb="FF000000"/>
      <name val="Arial"/>
    </font>
    <font>
      <sz val="10"/>
      <color rgb="FFFF0000"/>
      <name val="Arial"/>
    </font>
    <font>
      <b/>
      <sz val="10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3"/>
      <color theme="1"/>
      <name val="Arial"/>
    </font>
    <font>
      <u/>
      <sz val="10"/>
      <color rgb="FF0000FF"/>
      <name val="Arial"/>
    </font>
    <font>
      <sz val="12"/>
      <color theme="1"/>
      <name val="Arial"/>
    </font>
    <font>
      <b/>
      <u/>
      <sz val="10"/>
      <color theme="1"/>
      <name val="Arial"/>
    </font>
    <font>
      <b/>
      <sz val="10"/>
      <color rgb="FFFF0000"/>
      <name val="Arial"/>
    </font>
    <font>
      <vertAlign val="subscript"/>
      <sz val="12"/>
      <color rgb="FF000000"/>
      <name val="Arial"/>
    </font>
    <font>
      <sz val="12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</fills>
  <borders count="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8">
    <xf numFmtId="0" fontId="0" fillId="0" borderId="0" xfId="0" applyFont="1" applyAlignme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5" fontId="7" fillId="0" borderId="18" xfId="0" applyNumberFormat="1" applyFont="1" applyBorder="1" applyAlignment="1">
      <alignment vertical="center"/>
    </xf>
    <xf numFmtId="10" fontId="7" fillId="0" borderId="19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5" fontId="1" fillId="0" borderId="18" xfId="0" applyNumberFormat="1" applyFont="1" applyBorder="1" applyAlignment="1">
      <alignment vertical="center"/>
    </xf>
    <xf numFmtId="10" fontId="1" fillId="0" borderId="19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left" vertical="center"/>
    </xf>
    <xf numFmtId="4" fontId="1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vertical="center"/>
    </xf>
    <xf numFmtId="165" fontId="7" fillId="0" borderId="22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vertical="center"/>
    </xf>
    <xf numFmtId="166" fontId="7" fillId="0" borderId="24" xfId="0" applyNumberFormat="1" applyFont="1" applyBorder="1" applyAlignment="1">
      <alignment vertical="center"/>
    </xf>
    <xf numFmtId="10" fontId="7" fillId="0" borderId="11" xfId="0" applyNumberFormat="1" applyFont="1" applyBorder="1" applyAlignment="1">
      <alignment vertical="center"/>
    </xf>
    <xf numFmtId="164" fontId="7" fillId="0" borderId="2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" fontId="1" fillId="0" borderId="15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1" fontId="1" fillId="0" borderId="29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" fontId="1" fillId="0" borderId="30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vertical="center"/>
    </xf>
    <xf numFmtId="4" fontId="7" fillId="0" borderId="32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" fontId="7" fillId="0" borderId="33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164" fontId="1" fillId="0" borderId="37" xfId="0" applyNumberFormat="1" applyFont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" fontId="1" fillId="0" borderId="39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4" fontId="7" fillId="0" borderId="9" xfId="0" applyNumberFormat="1" applyFont="1" applyBorder="1" applyAlignment="1">
      <alignment vertical="center"/>
    </xf>
    <xf numFmtId="9" fontId="7" fillId="3" borderId="40" xfId="0" applyNumberFormat="1" applyFont="1" applyFill="1" applyBorder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164" fontId="7" fillId="4" borderId="42" xfId="0" applyNumberFormat="1" applyFont="1" applyFill="1" applyBorder="1" applyAlignment="1">
      <alignment horizontal="center" vertical="center"/>
    </xf>
    <xf numFmtId="164" fontId="7" fillId="4" borderId="43" xfId="0" applyNumberFormat="1" applyFont="1" applyFill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164" fontId="1" fillId="3" borderId="45" xfId="0" applyNumberFormat="1" applyFont="1" applyFill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164" fontId="1" fillId="5" borderId="1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64" fontId="1" fillId="0" borderId="47" xfId="0" applyNumberFormat="1" applyFont="1" applyBorder="1" applyAlignment="1">
      <alignment vertical="center"/>
    </xf>
    <xf numFmtId="164" fontId="7" fillId="4" borderId="48" xfId="0" applyNumberFormat="1" applyFont="1" applyFill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vertical="center"/>
    </xf>
    <xf numFmtId="164" fontId="10" fillId="0" borderId="0" xfId="0" applyNumberFormat="1" applyFont="1"/>
    <xf numFmtId="1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164" fontId="7" fillId="0" borderId="18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8" fontId="1" fillId="0" borderId="0" xfId="0" applyNumberFormat="1" applyFont="1" applyAlignment="1">
      <alignment vertical="center"/>
    </xf>
    <xf numFmtId="0" fontId="7" fillId="0" borderId="18" xfId="0" applyFont="1" applyBorder="1" applyAlignment="1">
      <alignment horizontal="center" vertical="center"/>
    </xf>
    <xf numFmtId="167" fontId="7" fillId="0" borderId="18" xfId="0" applyNumberFormat="1" applyFont="1" applyBorder="1" applyAlignment="1">
      <alignment horizontal="center" vertical="center"/>
    </xf>
    <xf numFmtId="164" fontId="7" fillId="3" borderId="49" xfId="0" applyNumberFormat="1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164" fontId="7" fillId="0" borderId="4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167" fontId="1" fillId="0" borderId="18" xfId="0" applyNumberFormat="1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167" fontId="8" fillId="0" borderId="18" xfId="0" applyNumberFormat="1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164" fontId="7" fillId="4" borderId="48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right" vertical="center"/>
    </xf>
    <xf numFmtId="164" fontId="1" fillId="3" borderId="18" xfId="0" applyNumberFormat="1" applyFont="1" applyFill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1" fillId="3" borderId="18" xfId="0" applyNumberFormat="1" applyFont="1" applyFill="1" applyBorder="1" applyAlignment="1">
      <alignment horizontal="right" vertical="center"/>
    </xf>
    <xf numFmtId="164" fontId="1" fillId="3" borderId="18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3" borderId="18" xfId="0" applyNumberFormat="1" applyFont="1" applyFill="1" applyBorder="1" applyAlignment="1">
      <alignment horizontal="center" vertical="center"/>
    </xf>
    <xf numFmtId="167" fontId="1" fillId="0" borderId="1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0" fontId="7" fillId="4" borderId="42" xfId="0" applyFont="1" applyFill="1" applyBorder="1" applyAlignment="1">
      <alignment horizontal="center" vertical="center" wrapText="1"/>
    </xf>
    <xf numFmtId="13" fontId="1" fillId="3" borderId="18" xfId="0" applyNumberFormat="1" applyFont="1" applyFill="1" applyBorder="1" applyAlignment="1">
      <alignment vertical="center"/>
    </xf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164" fontId="1" fillId="0" borderId="0" xfId="0" applyNumberFormat="1" applyFont="1"/>
    <xf numFmtId="13" fontId="1" fillId="3" borderId="18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4" fontId="1" fillId="3" borderId="45" xfId="0" applyNumberFormat="1" applyFont="1" applyFill="1" applyBorder="1" applyAlignment="1">
      <alignment horizontal="center" vertical="center"/>
    </xf>
    <xf numFmtId="164" fontId="1" fillId="3" borderId="44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5" borderId="18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3" borderId="18" xfId="0" applyNumberFormat="1" applyFont="1" applyFill="1" applyBorder="1" applyAlignment="1">
      <alignment vertical="center"/>
    </xf>
    <xf numFmtId="4" fontId="1" fillId="3" borderId="44" xfId="0" applyNumberFormat="1" applyFont="1" applyFill="1" applyBorder="1" applyAlignment="1">
      <alignment horizontal="center" vertical="center"/>
    </xf>
    <xf numFmtId="169" fontId="1" fillId="3" borderId="44" xfId="0" applyNumberFormat="1" applyFont="1" applyFill="1" applyBorder="1" applyAlignment="1">
      <alignment horizontal="center" vertical="center"/>
    </xf>
    <xf numFmtId="169" fontId="1" fillId="0" borderId="18" xfId="0" applyNumberFormat="1" applyFont="1" applyBorder="1" applyAlignment="1">
      <alignment horizontal="center" vertical="center"/>
    </xf>
    <xf numFmtId="4" fontId="1" fillId="3" borderId="18" xfId="0" applyNumberFormat="1" applyFont="1" applyFill="1" applyBorder="1" applyAlignment="1">
      <alignment horizontal="center" vertical="center"/>
    </xf>
    <xf numFmtId="169" fontId="1" fillId="3" borderId="18" xfId="0" applyNumberFormat="1" applyFont="1" applyFill="1" applyBorder="1" applyAlignment="1">
      <alignment horizontal="center" vertical="center"/>
    </xf>
    <xf numFmtId="3" fontId="1" fillId="0" borderId="18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4" fontId="1" fillId="3" borderId="45" xfId="0" applyNumberFormat="1" applyFont="1" applyFill="1" applyBorder="1" applyAlignment="1">
      <alignment horizontal="center" vertical="center"/>
    </xf>
    <xf numFmtId="169" fontId="1" fillId="3" borderId="45" xfId="0" applyNumberFormat="1" applyFont="1" applyFill="1" applyBorder="1" applyAlignment="1">
      <alignment horizontal="center" vertical="center"/>
    </xf>
    <xf numFmtId="169" fontId="1" fillId="0" borderId="44" xfId="0" applyNumberFormat="1" applyFont="1" applyBorder="1" applyAlignment="1">
      <alignment horizontal="center" vertical="center"/>
    </xf>
    <xf numFmtId="164" fontId="1" fillId="3" borderId="56" xfId="0" applyNumberFormat="1" applyFont="1" applyFill="1" applyBorder="1" applyAlignment="1">
      <alignment vertical="center"/>
    </xf>
    <xf numFmtId="164" fontId="1" fillId="0" borderId="57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48" xfId="0" applyNumberFormat="1" applyFont="1" applyFill="1" applyBorder="1" applyAlignment="1">
      <alignment horizontal="right" vertical="center"/>
    </xf>
    <xf numFmtId="170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  <xf numFmtId="4" fontId="4" fillId="0" borderId="0" xfId="0" applyNumberFormat="1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15" fillId="0" borderId="5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0" fontId="15" fillId="0" borderId="30" xfId="0" applyNumberFormat="1" applyFont="1" applyBorder="1" applyAlignment="1">
      <alignment horizontal="right" vertical="center"/>
    </xf>
    <xf numFmtId="0" fontId="16" fillId="0" borderId="18" xfId="0" applyFont="1" applyBorder="1" applyAlignment="1">
      <alignment horizontal="left" vertical="center"/>
    </xf>
    <xf numFmtId="10" fontId="16" fillId="0" borderId="30" xfId="0" applyNumberFormat="1" applyFont="1" applyBorder="1" applyAlignment="1">
      <alignment horizontal="right" vertical="center"/>
    </xf>
    <xf numFmtId="0" fontId="15" fillId="6" borderId="59" xfId="0" applyFont="1" applyFill="1" applyBorder="1" applyAlignment="1">
      <alignment horizontal="left" vertical="center"/>
    </xf>
    <xf numFmtId="0" fontId="16" fillId="6" borderId="18" xfId="0" applyFont="1" applyFill="1" applyBorder="1" applyAlignment="1">
      <alignment horizontal="left" vertical="center"/>
    </xf>
    <xf numFmtId="10" fontId="16" fillId="6" borderId="30" xfId="0" applyNumberFormat="1" applyFont="1" applyFill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0" fontId="1" fillId="0" borderId="0" xfId="0" applyNumberFormat="1" applyFont="1"/>
    <xf numFmtId="9" fontId="15" fillId="0" borderId="0" xfId="0" applyNumberFormat="1" applyFont="1" applyAlignment="1">
      <alignment horizontal="right" vertical="center"/>
    </xf>
    <xf numFmtId="0" fontId="15" fillId="0" borderId="18" xfId="0" applyFont="1" applyBorder="1" applyAlignment="1">
      <alignment horizontal="left" vertical="center" wrapText="1"/>
    </xf>
    <xf numFmtId="0" fontId="15" fillId="7" borderId="60" xfId="0" applyFont="1" applyFill="1" applyBorder="1" applyAlignment="1">
      <alignment horizontal="left" vertical="center"/>
    </xf>
    <xf numFmtId="0" fontId="16" fillId="7" borderId="22" xfId="0" applyFont="1" applyFill="1" applyBorder="1" applyAlignment="1">
      <alignment horizontal="left" vertical="center"/>
    </xf>
    <xf numFmtId="10" fontId="16" fillId="7" borderId="39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right" vertical="center"/>
    </xf>
    <xf numFmtId="0" fontId="8" fillId="8" borderId="49" xfId="0" applyFont="1" applyFill="1" applyBorder="1" applyAlignment="1">
      <alignment horizontal="left" vertical="center"/>
    </xf>
    <xf numFmtId="10" fontId="15" fillId="0" borderId="0" xfId="0" applyNumberFormat="1" applyFont="1" applyAlignment="1">
      <alignment horizontal="right" vertical="center"/>
    </xf>
    <xf numFmtId="0" fontId="15" fillId="8" borderId="49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5" fillId="0" borderId="16" xfId="0" applyFont="1" applyBorder="1"/>
    <xf numFmtId="0" fontId="4" fillId="0" borderId="19" xfId="0" applyFont="1" applyBorder="1"/>
    <xf numFmtId="0" fontId="5" fillId="0" borderId="61" xfId="0" applyFont="1" applyBorder="1"/>
    <xf numFmtId="0" fontId="5" fillId="3" borderId="30" xfId="0" applyFont="1" applyFill="1" applyBorder="1"/>
    <xf numFmtId="0" fontId="5" fillId="0" borderId="59" xfId="0" applyFont="1" applyBorder="1"/>
    <xf numFmtId="0" fontId="4" fillId="0" borderId="59" xfId="0" applyFont="1" applyBorder="1"/>
    <xf numFmtId="0" fontId="4" fillId="3" borderId="30" xfId="0" applyFont="1" applyFill="1" applyBorder="1"/>
    <xf numFmtId="0" fontId="4" fillId="0" borderId="61" xfId="0" applyFont="1" applyBorder="1"/>
    <xf numFmtId="0" fontId="4" fillId="3" borderId="62" xfId="0" applyFont="1" applyFill="1" applyBorder="1"/>
    <xf numFmtId="0" fontId="4" fillId="0" borderId="20" xfId="0" applyFont="1" applyBorder="1"/>
    <xf numFmtId="0" fontId="4" fillId="0" borderId="63" xfId="0" applyFont="1" applyBorder="1"/>
    <xf numFmtId="0" fontId="4" fillId="3" borderId="64" xfId="0" applyFont="1" applyFill="1" applyBorder="1"/>
    <xf numFmtId="0" fontId="4" fillId="0" borderId="30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65" xfId="0" applyFont="1" applyBorder="1"/>
    <xf numFmtId="0" fontId="7" fillId="0" borderId="0" xfId="0" applyFont="1"/>
    <xf numFmtId="10" fontId="5" fillId="0" borderId="30" xfId="0" applyNumberFormat="1" applyFont="1" applyBorder="1"/>
    <xf numFmtId="171" fontId="5" fillId="0" borderId="30" xfId="0" applyNumberFormat="1" applyFont="1" applyBorder="1"/>
    <xf numFmtId="0" fontId="5" fillId="0" borderId="30" xfId="0" applyFont="1" applyBorder="1"/>
    <xf numFmtId="9" fontId="5" fillId="0" borderId="30" xfId="0" applyNumberFormat="1" applyFont="1" applyBorder="1"/>
    <xf numFmtId="0" fontId="5" fillId="0" borderId="31" xfId="0" applyFont="1" applyBorder="1"/>
    <xf numFmtId="9" fontId="5" fillId="0" borderId="33" xfId="0" applyNumberFormat="1" applyFont="1" applyBorder="1"/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9" fontId="4" fillId="0" borderId="59" xfId="0" applyNumberFormat="1" applyFont="1" applyBorder="1"/>
    <xf numFmtId="9" fontId="4" fillId="0" borderId="18" xfId="0" applyNumberFormat="1" applyFont="1" applyBorder="1" applyAlignment="1">
      <alignment horizontal="center"/>
    </xf>
    <xf numFmtId="9" fontId="4" fillId="0" borderId="30" xfId="0" applyNumberFormat="1" applyFont="1" applyBorder="1"/>
    <xf numFmtId="0" fontId="4" fillId="0" borderId="66" xfId="0" applyFont="1" applyBorder="1" applyAlignment="1">
      <alignment horizontal="left" vertical="center"/>
    </xf>
    <xf numFmtId="0" fontId="4" fillId="0" borderId="67" xfId="0" applyFont="1" applyBorder="1" applyAlignment="1">
      <alignment horizontal="center" vertical="center"/>
    </xf>
    <xf numFmtId="10" fontId="4" fillId="3" borderId="15" xfId="0" applyNumberFormat="1" applyFont="1" applyFill="1" applyBorder="1" applyAlignment="1">
      <alignment horizontal="center" vertical="center"/>
    </xf>
    <xf numFmtId="10" fontId="4" fillId="0" borderId="59" xfId="0" applyNumberFormat="1" applyFont="1" applyBorder="1" applyAlignment="1">
      <alignment horizontal="right"/>
    </xf>
    <xf numFmtId="10" fontId="4" fillId="0" borderId="18" xfId="0" applyNumberFormat="1" applyFont="1" applyBorder="1" applyAlignment="1">
      <alignment horizontal="right"/>
    </xf>
    <xf numFmtId="10" fontId="4" fillId="0" borderId="30" xfId="0" applyNumberFormat="1" applyFont="1" applyBorder="1" applyAlignment="1">
      <alignment horizontal="right"/>
    </xf>
    <xf numFmtId="0" fontId="4" fillId="0" borderId="59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10" fontId="4" fillId="3" borderId="30" xfId="0" applyNumberFormat="1" applyFont="1" applyFill="1" applyBorder="1" applyAlignment="1">
      <alignment horizontal="center" vertical="center"/>
    </xf>
    <xf numFmtId="10" fontId="4" fillId="0" borderId="30" xfId="0" applyNumberFormat="1" applyFont="1" applyBorder="1" applyAlignment="1">
      <alignment horizontal="center" vertical="center"/>
    </xf>
    <xf numFmtId="10" fontId="4" fillId="3" borderId="18" xfId="0" applyNumberFormat="1" applyFont="1" applyFill="1" applyBorder="1" applyAlignment="1">
      <alignment horizontal="center"/>
    </xf>
    <xf numFmtId="10" fontId="4" fillId="0" borderId="30" xfId="0" applyNumberFormat="1" applyFont="1" applyBorder="1"/>
    <xf numFmtId="0" fontId="4" fillId="0" borderId="59" xfId="0" applyFont="1" applyBorder="1" applyAlignment="1">
      <alignment horizontal="right"/>
    </xf>
    <xf numFmtId="0" fontId="4" fillId="3" borderId="18" xfId="0" applyFont="1" applyFill="1" applyBorder="1" applyAlignment="1">
      <alignment horizontal="center"/>
    </xf>
    <xf numFmtId="0" fontId="4" fillId="0" borderId="60" xfId="0" applyFont="1" applyBorder="1" applyAlignment="1">
      <alignment horizontal="left" vertical="center"/>
    </xf>
    <xf numFmtId="10" fontId="4" fillId="3" borderId="39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10" fontId="4" fillId="0" borderId="69" xfId="0" applyNumberFormat="1" applyFont="1" applyBorder="1" applyAlignment="1">
      <alignment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70" xfId="0" applyFont="1" applyBorder="1" applyAlignment="1">
      <alignment vertical="center"/>
    </xf>
    <xf numFmtId="0" fontId="5" fillId="6" borderId="71" xfId="0" applyFont="1" applyFill="1" applyBorder="1" applyAlignment="1">
      <alignment vertical="center" wrapText="1"/>
    </xf>
    <xf numFmtId="0" fontId="4" fillId="6" borderId="72" xfId="0" applyFont="1" applyFill="1" applyBorder="1" applyAlignment="1">
      <alignment vertical="center"/>
    </xf>
    <xf numFmtId="10" fontId="5" fillId="6" borderId="40" xfId="0" applyNumberFormat="1" applyFont="1" applyFill="1" applyBorder="1" applyAlignment="1">
      <alignment horizontal="center" vertical="center" wrapText="1"/>
    </xf>
    <xf numFmtId="10" fontId="4" fillId="0" borderId="60" xfId="0" applyNumberFormat="1" applyFont="1" applyBorder="1" applyAlignment="1">
      <alignment horizontal="right"/>
    </xf>
    <xf numFmtId="10" fontId="4" fillId="0" borderId="22" xfId="0" applyNumberFormat="1" applyFont="1" applyBorder="1" applyAlignment="1">
      <alignment horizontal="right"/>
    </xf>
    <xf numFmtId="10" fontId="4" fillId="0" borderId="39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6" fillId="0" borderId="59" xfId="0" applyFont="1" applyBorder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2" fontId="15" fillId="10" borderId="18" xfId="0" applyNumberFormat="1" applyFont="1" applyFill="1" applyBorder="1" applyAlignment="1">
      <alignment horizontal="right" vertical="center"/>
    </xf>
    <xf numFmtId="0" fontId="15" fillId="0" borderId="60" xfId="0" applyFont="1" applyBorder="1" applyAlignment="1">
      <alignment horizontal="center" vertical="center"/>
    </xf>
    <xf numFmtId="2" fontId="15" fillId="10" borderId="22" xfId="0" applyNumberFormat="1" applyFont="1" applyFill="1" applyBorder="1" applyAlignment="1">
      <alignment horizontal="right" vertical="center"/>
    </xf>
    <xf numFmtId="0" fontId="5" fillId="9" borderId="73" xfId="0" applyFont="1" applyFill="1" applyBorder="1" applyAlignment="1">
      <alignment horizontal="center"/>
    </xf>
    <xf numFmtId="0" fontId="1" fillId="0" borderId="74" xfId="0" applyFont="1" applyBorder="1"/>
    <xf numFmtId="0" fontId="19" fillId="0" borderId="74" xfId="0" applyFont="1" applyBorder="1" applyAlignment="1">
      <alignment horizontal="left"/>
    </xf>
    <xf numFmtId="0" fontId="19" fillId="0" borderId="75" xfId="0" applyFont="1" applyBorder="1" applyAlignment="1">
      <alignment horizontal="left"/>
    </xf>
    <xf numFmtId="0" fontId="1" fillId="0" borderId="51" xfId="0" applyFont="1" applyBorder="1" applyAlignment="1">
      <alignment horizontal="left" vertical="center"/>
    </xf>
    <xf numFmtId="0" fontId="3" fillId="0" borderId="52" xfId="0" applyFont="1" applyBorder="1"/>
    <xf numFmtId="0" fontId="3" fillId="0" borderId="53" xfId="0" applyFont="1" applyBorder="1"/>
    <xf numFmtId="0" fontId="1" fillId="3" borderId="54" xfId="0" applyFont="1" applyFill="1" applyBorder="1" applyAlignment="1">
      <alignment horizontal="left" vertical="center" wrapText="1"/>
    </xf>
    <xf numFmtId="0" fontId="3" fillId="0" borderId="55" xfId="0" applyFont="1" applyBorder="1"/>
    <xf numFmtId="0" fontId="1" fillId="3" borderId="54" xfId="0" applyFont="1" applyFill="1" applyBorder="1" applyAlignment="1">
      <alignment vertical="center" wrapText="1"/>
    </xf>
    <xf numFmtId="0" fontId="1" fillId="0" borderId="47" xfId="0" applyFont="1" applyBorder="1" applyAlignment="1">
      <alignment vertical="center"/>
    </xf>
    <xf numFmtId="0" fontId="3" fillId="0" borderId="17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164" fontId="6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164" fontId="7" fillId="0" borderId="16" xfId="0" applyNumberFormat="1" applyFont="1" applyBorder="1" applyAlignment="1">
      <alignment horizontal="left" vertical="center"/>
    </xf>
    <xf numFmtId="164" fontId="7" fillId="0" borderId="9" xfId="0" applyNumberFormat="1" applyFont="1" applyBorder="1" applyAlignment="1">
      <alignment horizontal="center" vertical="center"/>
    </xf>
    <xf numFmtId="0" fontId="3" fillId="0" borderId="25" xfId="0" applyFont="1" applyBorder="1"/>
    <xf numFmtId="0" fontId="7" fillId="0" borderId="34" xfId="0" applyFont="1" applyBorder="1" applyAlignment="1">
      <alignment horizontal="center" vertical="center"/>
    </xf>
    <xf numFmtId="0" fontId="3" fillId="0" borderId="35" xfId="0" applyFont="1" applyBorder="1"/>
    <xf numFmtId="0" fontId="3" fillId="0" borderId="36" xfId="0" applyFont="1" applyBorder="1"/>
    <xf numFmtId="0" fontId="5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58" xfId="0" applyFont="1" applyBorder="1"/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9" borderId="1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3" fillId="0" borderId="68" xfId="0" applyFont="1" applyBorder="1"/>
    <xf numFmtId="0" fontId="6" fillId="9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4</xdr:row>
      <xdr:rowOff>28575</xdr:rowOff>
    </xdr:from>
    <xdr:ext cx="1285875" cy="361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</xdr:row>
      <xdr:rowOff>9525</xdr:rowOff>
    </xdr:from>
    <xdr:ext cx="2038350" cy="3714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40"/>
  <sheetViews>
    <sheetView tabSelected="1" workbookViewId="0"/>
  </sheetViews>
  <sheetFormatPr defaultColWidth="12.5703125" defaultRowHeight="15" customHeight="1" x14ac:dyDescent="0.2"/>
  <cols>
    <col min="1" max="1" width="46.7109375" customWidth="1"/>
    <col min="2" max="2" width="16" customWidth="1"/>
    <col min="3" max="3" width="11.85546875" customWidth="1"/>
    <col min="4" max="4" width="14.7109375" customWidth="1"/>
    <col min="5" max="5" width="15.42578125" customWidth="1"/>
    <col min="6" max="6" width="13.28515625" customWidth="1"/>
    <col min="7" max="7" width="16.7109375" customWidth="1"/>
    <col min="8" max="8" width="9.140625" customWidth="1"/>
    <col min="9" max="9" width="14.5703125" customWidth="1"/>
    <col min="10" max="10" width="13.42578125" customWidth="1"/>
    <col min="11" max="26" width="9.140625" customWidth="1"/>
  </cols>
  <sheetData>
    <row r="1" spans="1:26" ht="16.5" customHeight="1" x14ac:dyDescent="0.2">
      <c r="A1" s="1"/>
      <c r="B1" s="2"/>
      <c r="C1" s="2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72" t="s">
        <v>0</v>
      </c>
      <c r="B2" s="273"/>
      <c r="C2" s="273"/>
      <c r="D2" s="273"/>
      <c r="E2" s="273"/>
      <c r="F2" s="27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.75" customHeight="1" x14ac:dyDescent="0.2">
      <c r="A3" s="275" t="s">
        <v>1</v>
      </c>
      <c r="B3" s="276"/>
      <c r="C3" s="276"/>
      <c r="D3" s="276"/>
      <c r="E3" s="276"/>
      <c r="F3" s="277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0.5" customHeight="1" x14ac:dyDescent="0.2">
      <c r="A4" s="6"/>
      <c r="B4" s="2"/>
      <c r="C4" s="2"/>
      <c r="D4" s="3"/>
      <c r="E4" s="3"/>
      <c r="F4" s="7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278" t="s">
        <v>2</v>
      </c>
      <c r="B5" s="279"/>
      <c r="C5" s="279"/>
      <c r="D5" s="279"/>
      <c r="E5" s="279"/>
      <c r="F5" s="280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8" t="s">
        <v>3</v>
      </c>
      <c r="B6" s="9"/>
      <c r="C6" s="9"/>
      <c r="D6" s="10"/>
      <c r="E6" s="11" t="s">
        <v>4</v>
      </c>
      <c r="F6" s="12" t="s">
        <v>5</v>
      </c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3" t="str">
        <f>A54</f>
        <v>1. Mão-de-obra</v>
      </c>
      <c r="B7" s="14"/>
      <c r="C7" s="14"/>
      <c r="D7" s="14"/>
      <c r="E7" s="15">
        <f>+F166</f>
        <v>98935.605489833848</v>
      </c>
      <c r="F7" s="16">
        <f t="shared" ref="F7:F35" si="0">IFERROR(E7/$E$36,0)</f>
        <v>0.41776663176358414</v>
      </c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 customHeight="1" x14ac:dyDescent="0.2">
      <c r="A8" s="19" t="str">
        <f>A56</f>
        <v>1.1. Coletor de lixo domiciliar - CBO 5142 (CCT RS000040/2025) - Jornada integral</v>
      </c>
      <c r="B8" s="20"/>
      <c r="C8" s="20"/>
      <c r="D8" s="20"/>
      <c r="E8" s="21">
        <f>F67</f>
        <v>50321.21262528481</v>
      </c>
      <c r="F8" s="22">
        <f t="shared" si="0"/>
        <v>0.21248693431086907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9" t="str">
        <f>A69</f>
        <v>1.2. Coletor de lixo domiciliar - CBO 5142 (CCT RS000040/2025) - Metade da jornada</v>
      </c>
      <c r="B9" s="20"/>
      <c r="C9" s="20"/>
      <c r="D9" s="20"/>
      <c r="E9" s="21">
        <f>F80</f>
        <v>7548.181893792721</v>
      </c>
      <c r="F9" s="22">
        <f t="shared" si="0"/>
        <v>3.1873040146630359E-2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9" t="str">
        <f>A82</f>
        <v>1.3. Motorista turno dia - CBO 7825 (CCT RS001610/2024) - Jornada integral</v>
      </c>
      <c r="B10" s="20"/>
      <c r="C10" s="20"/>
      <c r="D10" s="20"/>
      <c r="E10" s="21">
        <f>F95</f>
        <v>19779.324509714224</v>
      </c>
      <c r="F10" s="22">
        <f t="shared" si="0"/>
        <v>8.3520404389007333E-2</v>
      </c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9" t="str">
        <f>A97</f>
        <v>1.4. Motorista turno dia - CBO 7825 (CCT RS001610/2024) - Metade da jornada</v>
      </c>
      <c r="B11" s="20"/>
      <c r="C11" s="20"/>
      <c r="D11" s="20"/>
      <c r="E11" s="21">
        <f>F110</f>
        <v>2472.4155637142781</v>
      </c>
      <c r="F11" s="22">
        <f t="shared" si="0"/>
        <v>1.0440050548625917E-2</v>
      </c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9" t="str">
        <f>A112</f>
        <v>1.5. Gerente</v>
      </c>
      <c r="B12" s="20"/>
      <c r="C12" s="20"/>
      <c r="D12" s="20"/>
      <c r="E12" s="21">
        <f>F125</f>
        <v>7020.5387050201207</v>
      </c>
      <c r="F12" s="22">
        <f t="shared" si="0"/>
        <v>2.9645007916422023E-2</v>
      </c>
      <c r="G12" s="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9" t="str">
        <f>A127</f>
        <v>1.6. Vale Transporte</v>
      </c>
      <c r="B13" s="20"/>
      <c r="C13" s="20"/>
      <c r="D13" s="20"/>
      <c r="E13" s="21">
        <f>F137</f>
        <v>3703.8423923076921</v>
      </c>
      <c r="F13" s="22">
        <f t="shared" si="0"/>
        <v>1.5639887714403868E-2</v>
      </c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9" t="str">
        <f>A139</f>
        <v>1.7.  Auxílio refeição (diário)</v>
      </c>
      <c r="B14" s="20"/>
      <c r="C14" s="20"/>
      <c r="D14" s="20"/>
      <c r="E14" s="21">
        <f>F146</f>
        <v>7251.2898000000005</v>
      </c>
      <c r="F14" s="22">
        <f t="shared" si="0"/>
        <v>3.0619380158328491E-2</v>
      </c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9" t="str">
        <f>A148</f>
        <v>1.8. Auxílio alimentação - cesta básica (mensal)</v>
      </c>
      <c r="B15" s="20"/>
      <c r="C15" s="20"/>
      <c r="D15" s="20"/>
      <c r="E15" s="21">
        <f>F155</f>
        <v>501.4</v>
      </c>
      <c r="F15" s="22">
        <f t="shared" si="0"/>
        <v>2.1172174378392525E-3</v>
      </c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9" t="str">
        <f>A157</f>
        <v>1.9. Plano de Beneficio Social Familiar (mensal)</v>
      </c>
      <c r="B16" s="20"/>
      <c r="C16" s="20"/>
      <c r="D16" s="20"/>
      <c r="E16" s="21">
        <f>F164</f>
        <v>337.40000000000003</v>
      </c>
      <c r="F16" s="22">
        <f t="shared" si="0"/>
        <v>1.4247091414578458E-3</v>
      </c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281" t="str">
        <f>A168</f>
        <v>2. Uniformes e Equipamentos de Proteção Individual</v>
      </c>
      <c r="B17" s="271"/>
      <c r="C17" s="271"/>
      <c r="D17" s="14"/>
      <c r="E17" s="15">
        <f>+F200</f>
        <v>2642.354166666667</v>
      </c>
      <c r="F17" s="16">
        <f t="shared" si="0"/>
        <v>1.1157635258503936E-2</v>
      </c>
      <c r="G17" s="17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" customHeight="1" x14ac:dyDescent="0.2">
      <c r="A18" s="23" t="str">
        <f>A202</f>
        <v>3. Veículos e Equipamentos</v>
      </c>
      <c r="B18" s="24"/>
      <c r="C18" s="14"/>
      <c r="D18" s="14"/>
      <c r="E18" s="15">
        <f>+F357</f>
        <v>78713.842276863201</v>
      </c>
      <c r="F18" s="16">
        <f t="shared" si="0"/>
        <v>0.33237798059015422</v>
      </c>
      <c r="G18" s="17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" customHeight="1" x14ac:dyDescent="0.2">
      <c r="A19" s="25" t="str">
        <f>A204</f>
        <v>3.1. Caminhão coletor compactador 12 m³</v>
      </c>
      <c r="B19" s="26"/>
      <c r="C19" s="20"/>
      <c r="D19" s="20"/>
      <c r="E19" s="21">
        <f>SUM(E20:E25)</f>
        <v>70096.586762012579</v>
      </c>
      <c r="F19" s="22">
        <f t="shared" si="0"/>
        <v>0.29599065780922446</v>
      </c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27" t="s">
        <v>6</v>
      </c>
      <c r="B20" s="26"/>
      <c r="C20" s="20"/>
      <c r="D20" s="20"/>
      <c r="E20" s="21">
        <f>F221</f>
        <v>11109.007676415</v>
      </c>
      <c r="F20" s="22">
        <f t="shared" si="0"/>
        <v>4.6909024271232454E-2</v>
      </c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27" t="s">
        <v>7</v>
      </c>
      <c r="B21" s="26"/>
      <c r="C21" s="20"/>
      <c r="D21" s="20"/>
      <c r="E21" s="21">
        <f>F238</f>
        <v>13900.91707726425</v>
      </c>
      <c r="F21" s="22">
        <f t="shared" si="0"/>
        <v>5.8698173190947993E-2</v>
      </c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25" t="str">
        <f>A241</f>
        <v>3.1.3. Impostos e Seguros</v>
      </c>
      <c r="B22" s="26"/>
      <c r="C22" s="20"/>
      <c r="D22" s="20"/>
      <c r="E22" s="21">
        <f>F247</f>
        <v>1949.4166750000002</v>
      </c>
      <c r="F22" s="22">
        <f t="shared" si="0"/>
        <v>8.2316293935472979E-3</v>
      </c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25" t="str">
        <f>A249</f>
        <v>3.1.4. Consumos</v>
      </c>
      <c r="B23" s="26"/>
      <c r="C23" s="20"/>
      <c r="D23" s="20"/>
      <c r="E23" s="21">
        <f>F267</f>
        <v>20431.333333333332</v>
      </c>
      <c r="F23" s="22">
        <f t="shared" si="0"/>
        <v>8.6273584386995825E-2</v>
      </c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">
      <c r="A24" s="25" t="str">
        <f>A269</f>
        <v>3.1.5. Manutenção</v>
      </c>
      <c r="B24" s="26"/>
      <c r="C24" s="20"/>
      <c r="D24" s="20"/>
      <c r="E24" s="21">
        <f>F272</f>
        <v>19000</v>
      </c>
      <c r="F24" s="22">
        <f t="shared" si="0"/>
        <v>8.0229619702723964E-2</v>
      </c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">
      <c r="A25" s="25" t="str">
        <f>A274</f>
        <v>3.1.6. Pneus</v>
      </c>
      <c r="B25" s="26"/>
      <c r="C25" s="20"/>
      <c r="D25" s="20"/>
      <c r="E25" s="21">
        <f>F281</f>
        <v>3705.9119999999998</v>
      </c>
      <c r="F25" s="22">
        <f t="shared" si="0"/>
        <v>1.5648626863776903E-2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25" t="str">
        <f>A283</f>
        <v>3.2. Veículo picape 4x2</v>
      </c>
      <c r="B26" s="26"/>
      <c r="C26" s="20"/>
      <c r="D26" s="20"/>
      <c r="E26" s="21">
        <f>SUM(E27:E32)</f>
        <v>8617.2555148506253</v>
      </c>
      <c r="F26" s="22">
        <f t="shared" si="0"/>
        <v>3.6387322780929814E-2</v>
      </c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27" t="str">
        <f>A285</f>
        <v>3.2.1. Depreciação</v>
      </c>
      <c r="B27" s="26"/>
      <c r="C27" s="20"/>
      <c r="D27" s="20"/>
      <c r="E27" s="21">
        <f>F299</f>
        <v>937.05300786166686</v>
      </c>
      <c r="F27" s="22">
        <f t="shared" si="0"/>
        <v>3.956810866422902E-3</v>
      </c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">
      <c r="A28" s="27" t="str">
        <f>A301</f>
        <v>3.2.2. Remuneração do Capital</v>
      </c>
      <c r="B28" s="26"/>
      <c r="C28" s="20"/>
      <c r="D28" s="20"/>
      <c r="E28" s="21">
        <f>F315</f>
        <v>1102.2736536556249</v>
      </c>
      <c r="F28" s="22">
        <f t="shared" si="0"/>
        <v>4.6544734758485716E-3</v>
      </c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">
      <c r="A29" s="25" t="str">
        <f>A317</f>
        <v>3.2.3. Impostos e Seguros</v>
      </c>
      <c r="B29" s="26"/>
      <c r="C29" s="20"/>
      <c r="D29" s="20"/>
      <c r="E29" s="21">
        <f>F323</f>
        <v>821.88333333333333</v>
      </c>
      <c r="F29" s="22">
        <f t="shared" si="0"/>
        <v>3.4704940670179183E-3</v>
      </c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25" t="str">
        <f>A325</f>
        <v>3.2.4. Consumos</v>
      </c>
      <c r="B30" s="26"/>
      <c r="C30" s="20"/>
      <c r="D30" s="20"/>
      <c r="E30" s="21">
        <f>F341</f>
        <v>1517.9999999999998</v>
      </c>
      <c r="F30" s="22">
        <f t="shared" si="0"/>
        <v>6.409924353091314E-3</v>
      </c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25" t="str">
        <f>A343</f>
        <v>3.2.5. Manutenção</v>
      </c>
      <c r="B31" s="26"/>
      <c r="C31" s="20"/>
      <c r="D31" s="20"/>
      <c r="E31" s="21">
        <f>F346</f>
        <v>4026.8455200000003</v>
      </c>
      <c r="F31" s="22">
        <f t="shared" si="0"/>
        <v>1.7003804456379883E-2</v>
      </c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">
      <c r="A32" s="25" t="str">
        <f>A348</f>
        <v>3.2.6. Pneus</v>
      </c>
      <c r="B32" s="26"/>
      <c r="C32" s="20"/>
      <c r="D32" s="20"/>
      <c r="E32" s="21">
        <f>F355</f>
        <v>211.2</v>
      </c>
      <c r="F32" s="22">
        <f t="shared" si="0"/>
        <v>8.9181556216922633E-4</v>
      </c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">
      <c r="A33" s="23" t="str">
        <f>A359</f>
        <v>4. Ferramentas e Materiais de Consumo</v>
      </c>
      <c r="B33" s="24"/>
      <c r="C33" s="14"/>
      <c r="D33" s="14"/>
      <c r="E33" s="15">
        <f>+F369</f>
        <v>72.266666666666666</v>
      </c>
      <c r="F33" s="16">
        <f t="shared" si="0"/>
        <v>3.0515406230790447E-4</v>
      </c>
      <c r="G33" s="17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2">
      <c r="A34" s="23" t="str">
        <f>A371</f>
        <v>5. Monitoramento da Frota</v>
      </c>
      <c r="B34" s="24"/>
      <c r="C34" s="14"/>
      <c r="D34" s="14"/>
      <c r="E34" s="15">
        <f>+F380</f>
        <v>332</v>
      </c>
      <c r="F34" s="16">
        <f t="shared" si="0"/>
        <v>1.4019070390160187E-3</v>
      </c>
      <c r="G34" s="1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" customHeight="1" x14ac:dyDescent="0.2">
      <c r="A35" s="28" t="str">
        <f>A384</f>
        <v>6. Benefícios e Despesas Indiretas - BDI</v>
      </c>
      <c r="B35" s="29"/>
      <c r="C35" s="30"/>
      <c r="D35" s="30"/>
      <c r="E35" s="31">
        <f>+F390</f>
        <v>56124.198907169441</v>
      </c>
      <c r="F35" s="32">
        <f t="shared" si="0"/>
        <v>0.23699069128643369</v>
      </c>
      <c r="G35" s="1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" customHeight="1" x14ac:dyDescent="0.2">
      <c r="A36" s="33" t="s">
        <v>8</v>
      </c>
      <c r="B36" s="34"/>
      <c r="C36" s="35"/>
      <c r="D36" s="35"/>
      <c r="E36" s="36">
        <f t="shared" ref="E36:F36" si="1">E7+E17+E18+E33+E34+E35</f>
        <v>236820.26750719984</v>
      </c>
      <c r="F36" s="37">
        <f t="shared" si="1"/>
        <v>0.99999999999999989</v>
      </c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">
      <c r="A37" s="1"/>
      <c r="B37" s="1"/>
      <c r="C37" s="1"/>
      <c r="D37" s="3"/>
      <c r="E37" s="3"/>
      <c r="F37" s="3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">
      <c r="A38" s="1"/>
      <c r="B38" s="1"/>
      <c r="C38" s="1"/>
      <c r="D38" s="3"/>
      <c r="E38" s="3"/>
      <c r="F38" s="3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278" t="s">
        <v>9</v>
      </c>
      <c r="B39" s="279"/>
      <c r="C39" s="279"/>
      <c r="D39" s="279"/>
      <c r="E39" s="280"/>
      <c r="F39" s="3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282" t="s">
        <v>10</v>
      </c>
      <c r="B40" s="279"/>
      <c r="C40" s="279"/>
      <c r="D40" s="283"/>
      <c r="E40" s="38" t="s">
        <v>11</v>
      </c>
      <c r="F40" s="3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39" t="str">
        <f>+A56</f>
        <v>1.1. Coletor de lixo domiciliar - CBO 5142 (CCT RS000040/2025) - Jornada integral</v>
      </c>
      <c r="B41" s="9"/>
      <c r="C41" s="9"/>
      <c r="D41" s="40"/>
      <c r="E41" s="41">
        <f>C66</f>
        <v>10</v>
      </c>
      <c r="F41" s="3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42" t="str">
        <f>A69</f>
        <v>1.2. Coletor de lixo domiciliar - CBO 5142 (CCT RS000040/2025) - Metade da jornada</v>
      </c>
      <c r="B42" s="43"/>
      <c r="C42" s="43"/>
      <c r="D42" s="44"/>
      <c r="E42" s="45">
        <f>C79</f>
        <v>3</v>
      </c>
      <c r="F42" s="3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19" t="str">
        <f>+A82</f>
        <v>1.3. Motorista turno dia - CBO 7825 (CCT RS001610/2024) - Jornada integral</v>
      </c>
      <c r="B43" s="20"/>
      <c r="C43" s="20"/>
      <c r="D43" s="46"/>
      <c r="E43" s="47">
        <v>4</v>
      </c>
      <c r="F43" s="3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">
      <c r="A44" s="19" t="str">
        <f>A97</f>
        <v>1.4. Motorista turno dia - CBO 7825 (CCT RS001610/2024) - Metade da jornada</v>
      </c>
      <c r="B44" s="20"/>
      <c r="C44" s="20"/>
      <c r="D44" s="46"/>
      <c r="E44" s="47">
        <f>C109</f>
        <v>1</v>
      </c>
      <c r="F44" s="3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">
      <c r="A45" s="19" t="str">
        <f>+A112</f>
        <v>1.5. Gerente</v>
      </c>
      <c r="B45" s="20"/>
      <c r="C45" s="20"/>
      <c r="D45" s="46"/>
      <c r="E45" s="47">
        <f>C89</f>
        <v>1</v>
      </c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">
      <c r="A46" s="48" t="s">
        <v>12</v>
      </c>
      <c r="B46" s="49"/>
      <c r="C46" s="49"/>
      <c r="D46" s="50"/>
      <c r="E46" s="51">
        <f>SUM(E41:E45)</f>
        <v>19</v>
      </c>
      <c r="F46" s="3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">
      <c r="A47" s="52"/>
      <c r="B47" s="53"/>
      <c r="C47" s="3"/>
      <c r="D47" s="3"/>
      <c r="E47" s="7"/>
      <c r="F47" s="3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">
      <c r="A48" s="284" t="s">
        <v>13</v>
      </c>
      <c r="B48" s="285"/>
      <c r="C48" s="285"/>
      <c r="D48" s="286"/>
      <c r="E48" s="38" t="s">
        <v>11</v>
      </c>
      <c r="F48" s="1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">
      <c r="A49" s="19" t="str">
        <f>+A204</f>
        <v>3.1. Caminhão coletor compactador 12 m³</v>
      </c>
      <c r="B49" s="20"/>
      <c r="C49" s="20"/>
      <c r="D49" s="46"/>
      <c r="E49" s="47">
        <v>3</v>
      </c>
      <c r="F49" s="1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">
      <c r="A50" s="54" t="str">
        <f>+A283</f>
        <v>3.2. Veículo picape 4x2</v>
      </c>
      <c r="B50" s="55"/>
      <c r="C50" s="55"/>
      <c r="D50" s="56"/>
      <c r="E50" s="57">
        <f>+C298</f>
        <v>1.1000000000000001</v>
      </c>
      <c r="F50" s="1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">
      <c r="A51" s="3"/>
      <c r="B51" s="3"/>
      <c r="C51" s="3"/>
      <c r="D51" s="1"/>
      <c r="E51" s="58"/>
      <c r="F51" s="1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">
      <c r="A52" s="59" t="s">
        <v>14</v>
      </c>
      <c r="B52" s="60">
        <v>1</v>
      </c>
      <c r="C52" s="17"/>
      <c r="D52" s="18"/>
      <c r="E52" s="61"/>
      <c r="F52" s="18"/>
      <c r="G52" s="17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" customHeight="1" x14ac:dyDescent="0.2">
      <c r="A53" s="3"/>
      <c r="B53" s="3"/>
      <c r="C53" s="3"/>
      <c r="D53" s="1"/>
      <c r="E53" s="58"/>
      <c r="F53" s="1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">
      <c r="A54" s="18" t="s">
        <v>15</v>
      </c>
      <c r="B54" s="1"/>
      <c r="C54" s="1"/>
      <c r="D54" s="3"/>
      <c r="E54" s="3"/>
      <c r="F54" s="3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">
      <c r="A55" s="1"/>
      <c r="B55" s="1"/>
      <c r="C55" s="1"/>
      <c r="D55" s="3"/>
      <c r="E55" s="3"/>
      <c r="F55" s="3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">
      <c r="A56" s="62" t="s">
        <v>16</v>
      </c>
      <c r="B56" s="1"/>
      <c r="C56" s="1"/>
      <c r="D56" s="3"/>
      <c r="E56" s="3"/>
      <c r="F56" s="3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">
      <c r="A57" s="63" t="s">
        <v>17</v>
      </c>
      <c r="B57" s="64" t="s">
        <v>18</v>
      </c>
      <c r="C57" s="64" t="s">
        <v>11</v>
      </c>
      <c r="D57" s="65" t="s">
        <v>19</v>
      </c>
      <c r="E57" s="65" t="s">
        <v>20</v>
      </c>
      <c r="F57" s="66" t="s">
        <v>21</v>
      </c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">
      <c r="A58" s="67" t="s">
        <v>22</v>
      </c>
      <c r="B58" s="68" t="s">
        <v>23</v>
      </c>
      <c r="C58" s="68">
        <v>1</v>
      </c>
      <c r="D58" s="69">
        <v>1949.91</v>
      </c>
      <c r="E58" s="70">
        <f t="shared" ref="E58:E60" si="2">C58*D58</f>
        <v>1949.91</v>
      </c>
      <c r="F58" s="3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">
      <c r="A59" s="71" t="s">
        <v>24</v>
      </c>
      <c r="B59" s="72" t="s">
        <v>25</v>
      </c>
      <c r="C59" s="73">
        <v>7.33</v>
      </c>
      <c r="D59" s="74">
        <f>D58/220*2</f>
        <v>17.726454545454548</v>
      </c>
      <c r="E59" s="74">
        <f t="shared" si="2"/>
        <v>129.93491181818183</v>
      </c>
      <c r="F59" s="3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">
      <c r="A60" s="71" t="s">
        <v>26</v>
      </c>
      <c r="B60" s="72" t="s">
        <v>25</v>
      </c>
      <c r="C60" s="73">
        <v>0</v>
      </c>
      <c r="D60" s="74">
        <f>D58/220*1.5</f>
        <v>13.294840909090912</v>
      </c>
      <c r="E60" s="74">
        <f t="shared" si="2"/>
        <v>0</v>
      </c>
      <c r="F60" s="3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">
      <c r="A61" s="71" t="s">
        <v>27</v>
      </c>
      <c r="B61" s="72" t="s">
        <v>28</v>
      </c>
      <c r="C61" s="1"/>
      <c r="D61" s="74">
        <f>63/302*(SUM(E59:E60))</f>
        <v>27.105627299819389</v>
      </c>
      <c r="E61" s="74">
        <f>D61</f>
        <v>27.105627299819389</v>
      </c>
      <c r="F61" s="3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">
      <c r="A62" s="71" t="s">
        <v>29</v>
      </c>
      <c r="B62" s="72" t="s">
        <v>5</v>
      </c>
      <c r="C62" s="72">
        <v>40</v>
      </c>
      <c r="D62" s="74">
        <f>SUM(E58:E61)</f>
        <v>2106.9505391180014</v>
      </c>
      <c r="E62" s="74">
        <f>C62*D62/100</f>
        <v>842.78021564720052</v>
      </c>
      <c r="F62" s="3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">
      <c r="A63" s="75" t="s">
        <v>30</v>
      </c>
      <c r="B63" s="76"/>
      <c r="C63" s="76"/>
      <c r="D63" s="77"/>
      <c r="E63" s="78">
        <f>SUM(E58:E62)</f>
        <v>2949.7307547652017</v>
      </c>
      <c r="F63" s="3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">
      <c r="A64" s="71" t="s">
        <v>31</v>
      </c>
      <c r="B64" s="72" t="s">
        <v>5</v>
      </c>
      <c r="C64" s="79">
        <f>'2.Encargos Sociais'!C34*100</f>
        <v>70.595951999999997</v>
      </c>
      <c r="D64" s="74">
        <f>E63</f>
        <v>2949.7307547652017</v>
      </c>
      <c r="E64" s="74">
        <f>D64*C64/100</f>
        <v>2082.3905077632794</v>
      </c>
      <c r="F64" s="3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">
      <c r="A65" s="75" t="s">
        <v>32</v>
      </c>
      <c r="B65" s="76"/>
      <c r="C65" s="76"/>
      <c r="D65" s="77"/>
      <c r="E65" s="78">
        <f>E63+E64</f>
        <v>5032.1212625284807</v>
      </c>
      <c r="F65" s="3"/>
      <c r="G65" s="3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</row>
    <row r="66" spans="1:26" ht="15" customHeight="1" x14ac:dyDescent="0.2">
      <c r="A66" s="71" t="s">
        <v>33</v>
      </c>
      <c r="B66" s="72" t="s">
        <v>34</v>
      </c>
      <c r="C66" s="81">
        <v>10</v>
      </c>
      <c r="D66" s="74">
        <f>E65</f>
        <v>5032.1212625284807</v>
      </c>
      <c r="E66" s="74">
        <f>C66*D66</f>
        <v>50321.21262528481</v>
      </c>
      <c r="F66" s="3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">
      <c r="A67" s="1"/>
      <c r="B67" s="1"/>
      <c r="C67" s="1"/>
      <c r="D67" s="82" t="s">
        <v>35</v>
      </c>
      <c r="E67" s="83">
        <f>$B$52</f>
        <v>1</v>
      </c>
      <c r="F67" s="84">
        <f>E66*E67</f>
        <v>50321.21262528481</v>
      </c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">
      <c r="A68" s="1"/>
      <c r="B68" s="1"/>
      <c r="C68" s="1"/>
      <c r="D68" s="82"/>
      <c r="E68" s="3"/>
      <c r="F68" s="77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">
      <c r="A69" s="62" t="s">
        <v>36</v>
      </c>
      <c r="B69" s="1"/>
      <c r="C69" s="1"/>
      <c r="D69" s="3"/>
      <c r="E69" s="3"/>
      <c r="F69" s="3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">
      <c r="A70" s="63" t="s">
        <v>17</v>
      </c>
      <c r="B70" s="64" t="s">
        <v>18</v>
      </c>
      <c r="C70" s="64" t="s">
        <v>11</v>
      </c>
      <c r="D70" s="65" t="s">
        <v>19</v>
      </c>
      <c r="E70" s="65" t="s">
        <v>20</v>
      </c>
      <c r="F70" s="66" t="s">
        <v>37</v>
      </c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">
      <c r="A71" s="67" t="s">
        <v>22</v>
      </c>
      <c r="B71" s="68" t="s">
        <v>23</v>
      </c>
      <c r="C71" s="68">
        <v>1</v>
      </c>
      <c r="D71" s="85">
        <f>D58</f>
        <v>1949.91</v>
      </c>
      <c r="E71" s="70">
        <f t="shared" ref="E71:E73" si="3">C71*D71</f>
        <v>1949.91</v>
      </c>
      <c r="F71" s="3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">
      <c r="A72" s="71" t="s">
        <v>24</v>
      </c>
      <c r="B72" s="72" t="s">
        <v>25</v>
      </c>
      <c r="C72" s="86">
        <f t="shared" ref="C72:C73" si="4">C59</f>
        <v>7.33</v>
      </c>
      <c r="D72" s="74">
        <f>D71/220*2</f>
        <v>17.726454545454548</v>
      </c>
      <c r="E72" s="74">
        <f t="shared" si="3"/>
        <v>129.93491181818183</v>
      </c>
      <c r="F72" s="3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">
      <c r="A73" s="71" t="s">
        <v>26</v>
      </c>
      <c r="B73" s="72" t="s">
        <v>25</v>
      </c>
      <c r="C73" s="86">
        <f t="shared" si="4"/>
        <v>0</v>
      </c>
      <c r="D73" s="74">
        <f>D71/220*1.5</f>
        <v>13.294840909090912</v>
      </c>
      <c r="E73" s="74">
        <f t="shared" si="3"/>
        <v>0</v>
      </c>
      <c r="F73" s="3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">
      <c r="A74" s="71" t="s">
        <v>27</v>
      </c>
      <c r="B74" s="72" t="s">
        <v>28</v>
      </c>
      <c r="C74" s="1"/>
      <c r="D74" s="74">
        <f>63/302*(SUM(E72:E73))</f>
        <v>27.105627299819389</v>
      </c>
      <c r="E74" s="74">
        <f>D74</f>
        <v>27.105627299819389</v>
      </c>
      <c r="F74" s="3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">
      <c r="A75" s="71" t="s">
        <v>29</v>
      </c>
      <c r="B75" s="72" t="s">
        <v>5</v>
      </c>
      <c r="C75" s="72">
        <v>40</v>
      </c>
      <c r="D75" s="74">
        <f>SUM(E71:E74)</f>
        <v>2106.9505391180014</v>
      </c>
      <c r="E75" s="74">
        <f>C75*D75/100</f>
        <v>842.78021564720052</v>
      </c>
      <c r="F75" s="3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">
      <c r="A76" s="75" t="s">
        <v>30</v>
      </c>
      <c r="B76" s="76"/>
      <c r="C76" s="76"/>
      <c r="D76" s="77"/>
      <c r="E76" s="78">
        <f>SUM(E71:E75)</f>
        <v>2949.7307547652017</v>
      </c>
      <c r="F76" s="3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">
      <c r="A77" s="71" t="s">
        <v>31</v>
      </c>
      <c r="B77" s="72" t="s">
        <v>5</v>
      </c>
      <c r="C77" s="79">
        <f>C64</f>
        <v>70.595951999999997</v>
      </c>
      <c r="D77" s="74">
        <f>E76</f>
        <v>2949.7307547652017</v>
      </c>
      <c r="E77" s="74">
        <f>D77*C77/100</f>
        <v>2082.3905077632794</v>
      </c>
      <c r="F77" s="3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">
      <c r="A78" s="75" t="s">
        <v>32</v>
      </c>
      <c r="B78" s="76"/>
      <c r="C78" s="76"/>
      <c r="D78" s="77"/>
      <c r="E78" s="78">
        <f>E76+E77</f>
        <v>5032.1212625284807</v>
      </c>
      <c r="F78" s="3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">
      <c r="A79" s="71" t="s">
        <v>33</v>
      </c>
      <c r="B79" s="72" t="s">
        <v>34</v>
      </c>
      <c r="C79" s="81">
        <v>3</v>
      </c>
      <c r="D79" s="74">
        <f>E78</f>
        <v>5032.1212625284807</v>
      </c>
      <c r="E79" s="74">
        <f>C79*D79</f>
        <v>15096.363787585442</v>
      </c>
      <c r="F79" s="3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">
      <c r="A80" s="1"/>
      <c r="B80" s="1"/>
      <c r="C80" s="1"/>
      <c r="D80" s="82" t="s">
        <v>35</v>
      </c>
      <c r="E80" s="87">
        <v>0.5</v>
      </c>
      <c r="F80" s="84">
        <f>E79*E80</f>
        <v>7548.181893792721</v>
      </c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">
      <c r="A81" s="1"/>
      <c r="B81" s="1"/>
      <c r="C81" s="1"/>
      <c r="D81" s="3"/>
      <c r="E81" s="3"/>
      <c r="F81" s="3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">
      <c r="A82" s="62" t="s">
        <v>38</v>
      </c>
      <c r="B82" s="1"/>
      <c r="C82" s="1"/>
      <c r="D82" s="3"/>
      <c r="E82" s="3"/>
      <c r="F82" s="3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">
      <c r="A83" s="63" t="s">
        <v>17</v>
      </c>
      <c r="B83" s="64" t="s">
        <v>18</v>
      </c>
      <c r="C83" s="64" t="s">
        <v>11</v>
      </c>
      <c r="D83" s="65" t="s">
        <v>19</v>
      </c>
      <c r="E83" s="65" t="s">
        <v>20</v>
      </c>
      <c r="F83" s="66" t="s">
        <v>39</v>
      </c>
      <c r="G83" s="17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" customHeight="1" x14ac:dyDescent="0.2">
      <c r="A84" s="67" t="s">
        <v>40</v>
      </c>
      <c r="B84" s="68" t="s">
        <v>23</v>
      </c>
      <c r="C84" s="68">
        <v>1</v>
      </c>
      <c r="D84" s="69">
        <v>2075.3200000000002</v>
      </c>
      <c r="E84" s="70">
        <f>C84*D84</f>
        <v>2075.3200000000002</v>
      </c>
      <c r="F84" s="3"/>
      <c r="G84" s="8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">
      <c r="A85" s="67" t="s">
        <v>41</v>
      </c>
      <c r="B85" s="68" t="s">
        <v>23</v>
      </c>
      <c r="C85" s="68">
        <v>1</v>
      </c>
      <c r="D85" s="69">
        <v>1518</v>
      </c>
      <c r="E85" s="70"/>
      <c r="F85" s="3"/>
      <c r="G85" s="17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" customHeight="1" x14ac:dyDescent="0.2">
      <c r="A86" s="71" t="s">
        <v>24</v>
      </c>
      <c r="B86" s="72" t="s">
        <v>25</v>
      </c>
      <c r="C86" s="73">
        <v>7.33</v>
      </c>
      <c r="D86" s="74">
        <f>D84/220*2</f>
        <v>18.866545454545456</v>
      </c>
      <c r="E86" s="74">
        <f t="shared" ref="E86:E87" si="5">C86*D86</f>
        <v>138.29177818181819</v>
      </c>
      <c r="F86" s="3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">
      <c r="A87" s="71" t="s">
        <v>26</v>
      </c>
      <c r="B87" s="72" t="s">
        <v>25</v>
      </c>
      <c r="C87" s="73">
        <v>0</v>
      </c>
      <c r="D87" s="74">
        <f>D84/220*1.5</f>
        <v>14.149909090909091</v>
      </c>
      <c r="E87" s="74">
        <f t="shared" si="5"/>
        <v>0</v>
      </c>
      <c r="F87" s="3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">
      <c r="A88" s="71" t="s">
        <v>27</v>
      </c>
      <c r="B88" s="72" t="s">
        <v>28</v>
      </c>
      <c r="C88" s="1"/>
      <c r="D88" s="74">
        <f>63/302*(SUM(E86:E87))</f>
        <v>28.848947104154128</v>
      </c>
      <c r="E88" s="74">
        <f>D88</f>
        <v>28.848947104154128</v>
      </c>
      <c r="F88" s="3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">
      <c r="A89" s="71" t="s">
        <v>42</v>
      </c>
      <c r="B89" s="72"/>
      <c r="C89" s="89">
        <v>1</v>
      </c>
      <c r="D89" s="74"/>
      <c r="E89" s="74"/>
      <c r="F89" s="3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">
      <c r="A90" s="71" t="s">
        <v>29</v>
      </c>
      <c r="B90" s="72" t="s">
        <v>5</v>
      </c>
      <c r="C90" s="90">
        <v>40</v>
      </c>
      <c r="D90" s="74">
        <f>IF(C89=2,SUM(E84:E88),IF(C89=1,(SUM(E84:E88))*D85/D84,0))</f>
        <v>1640.2556622516556</v>
      </c>
      <c r="E90" s="74">
        <f>C90*D90/100</f>
        <v>656.10226490066225</v>
      </c>
      <c r="F90" s="3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">
      <c r="A91" s="91" t="s">
        <v>30</v>
      </c>
      <c r="B91" s="76"/>
      <c r="C91" s="76"/>
      <c r="D91" s="77"/>
      <c r="E91" s="92">
        <f>SUM(E84:E90)</f>
        <v>2898.5629901866346</v>
      </c>
      <c r="F91" s="17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">
      <c r="A92" s="71" t="s">
        <v>31</v>
      </c>
      <c r="B92" s="72" t="s">
        <v>5</v>
      </c>
      <c r="C92" s="79">
        <f>C64</f>
        <v>70.595951999999997</v>
      </c>
      <c r="D92" s="74">
        <f>E91</f>
        <v>2898.5629901866346</v>
      </c>
      <c r="E92" s="74">
        <f>D92*C92/100</f>
        <v>2046.2681372419213</v>
      </c>
      <c r="F92" s="3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">
      <c r="A93" s="91" t="s">
        <v>43</v>
      </c>
      <c r="B93" s="93"/>
      <c r="C93" s="93"/>
      <c r="D93" s="94"/>
      <c r="E93" s="92">
        <f>E91+E92</f>
        <v>4944.8311274285561</v>
      </c>
      <c r="F93" s="17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">
      <c r="A94" s="71" t="s">
        <v>33</v>
      </c>
      <c r="B94" s="72" t="s">
        <v>34</v>
      </c>
      <c r="C94" s="81">
        <v>4</v>
      </c>
      <c r="D94" s="74">
        <f>E93</f>
        <v>4944.8311274285561</v>
      </c>
      <c r="E94" s="74">
        <f>C94*D94</f>
        <v>19779.324509714224</v>
      </c>
      <c r="F94" s="3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">
      <c r="A95" s="1"/>
      <c r="B95" s="1"/>
      <c r="C95" s="1"/>
      <c r="D95" s="82" t="s">
        <v>35</v>
      </c>
      <c r="E95" s="83">
        <f>$B$52</f>
        <v>1</v>
      </c>
      <c r="F95" s="84">
        <f>E94*E95</f>
        <v>19779.324509714224</v>
      </c>
      <c r="G95" s="17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" customHeight="1" x14ac:dyDescent="0.2">
      <c r="A96" s="1"/>
      <c r="B96" s="1"/>
      <c r="C96" s="1"/>
      <c r="D96" s="82"/>
      <c r="E96" s="3"/>
      <c r="F96" s="77"/>
      <c r="G96" s="17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" customHeight="1" x14ac:dyDescent="0.2">
      <c r="A97" s="62" t="s">
        <v>44</v>
      </c>
      <c r="B97" s="1"/>
      <c r="C97" s="1"/>
      <c r="D97" s="3"/>
      <c r="E97" s="3"/>
      <c r="F97" s="3"/>
      <c r="G97" s="17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" customHeight="1" x14ac:dyDescent="0.2">
      <c r="A98" s="63" t="s">
        <v>17</v>
      </c>
      <c r="B98" s="64" t="s">
        <v>18</v>
      </c>
      <c r="C98" s="64" t="s">
        <v>11</v>
      </c>
      <c r="D98" s="65" t="s">
        <v>19</v>
      </c>
      <c r="E98" s="65" t="s">
        <v>20</v>
      </c>
      <c r="F98" s="66" t="s">
        <v>45</v>
      </c>
      <c r="G98" s="17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" customHeight="1" x14ac:dyDescent="0.2">
      <c r="A99" s="67" t="s">
        <v>40</v>
      </c>
      <c r="B99" s="68" t="s">
        <v>23</v>
      </c>
      <c r="C99" s="68">
        <v>1</v>
      </c>
      <c r="D99" s="85">
        <f t="shared" ref="D99:D100" si="6">D84</f>
        <v>2075.3200000000002</v>
      </c>
      <c r="E99" s="70">
        <f>C99*D99</f>
        <v>2075.3200000000002</v>
      </c>
      <c r="F99" s="3"/>
      <c r="G99" s="17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" customHeight="1" x14ac:dyDescent="0.2">
      <c r="A100" s="67" t="s">
        <v>41</v>
      </c>
      <c r="B100" s="68" t="s">
        <v>23</v>
      </c>
      <c r="C100" s="68">
        <v>1</v>
      </c>
      <c r="D100" s="85">
        <f t="shared" si="6"/>
        <v>1518</v>
      </c>
      <c r="E100" s="70"/>
      <c r="F100" s="3"/>
      <c r="G100" s="17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" customHeight="1" x14ac:dyDescent="0.2">
      <c r="A101" s="71" t="s">
        <v>24</v>
      </c>
      <c r="B101" s="72" t="s">
        <v>25</v>
      </c>
      <c r="C101" s="86">
        <f t="shared" ref="C101:C102" si="7">C86</f>
        <v>7.33</v>
      </c>
      <c r="D101" s="74">
        <f>D99/220*2</f>
        <v>18.866545454545456</v>
      </c>
      <c r="E101" s="74">
        <f t="shared" ref="E101:E102" si="8">C101*D101</f>
        <v>138.29177818181819</v>
      </c>
      <c r="F101" s="3"/>
      <c r="G101" s="17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" customHeight="1" x14ac:dyDescent="0.2">
      <c r="A102" s="71" t="s">
        <v>26</v>
      </c>
      <c r="B102" s="72" t="s">
        <v>25</v>
      </c>
      <c r="C102" s="86">
        <f t="shared" si="7"/>
        <v>0</v>
      </c>
      <c r="D102" s="74">
        <f>D99/220*1.5</f>
        <v>14.149909090909091</v>
      </c>
      <c r="E102" s="74">
        <f t="shared" si="8"/>
        <v>0</v>
      </c>
      <c r="F102" s="3"/>
      <c r="G102" s="17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" customHeight="1" x14ac:dyDescent="0.2">
      <c r="A103" s="71" t="s">
        <v>27</v>
      </c>
      <c r="B103" s="72" t="s">
        <v>28</v>
      </c>
      <c r="C103" s="1"/>
      <c r="D103" s="74">
        <f>63/302*(SUM(E101:E102))</f>
        <v>28.848947104154128</v>
      </c>
      <c r="E103" s="74">
        <f>D103</f>
        <v>28.848947104154128</v>
      </c>
      <c r="F103" s="3"/>
      <c r="G103" s="17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" customHeight="1" x14ac:dyDescent="0.2">
      <c r="A104" s="71" t="s">
        <v>42</v>
      </c>
      <c r="B104" s="72"/>
      <c r="C104" s="95">
        <f t="shared" ref="C104:C105" si="9">C89</f>
        <v>1</v>
      </c>
      <c r="D104" s="74"/>
      <c r="E104" s="74"/>
      <c r="F104" s="3"/>
      <c r="G104" s="17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" customHeight="1" x14ac:dyDescent="0.2">
      <c r="A105" s="71" t="s">
        <v>29</v>
      </c>
      <c r="B105" s="72" t="s">
        <v>5</v>
      </c>
      <c r="C105" s="72">
        <f t="shared" si="9"/>
        <v>40</v>
      </c>
      <c r="D105" s="74">
        <f>IF(C104=2,SUM(E99:E103),IF(C104=1,(SUM(E99:E103))*D100/D99,0))</f>
        <v>1640.2556622516556</v>
      </c>
      <c r="E105" s="74">
        <f>C105*D105/100</f>
        <v>656.10226490066225</v>
      </c>
      <c r="F105" s="3"/>
      <c r="G105" s="17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" customHeight="1" x14ac:dyDescent="0.2">
      <c r="A106" s="91" t="s">
        <v>30</v>
      </c>
      <c r="B106" s="76"/>
      <c r="C106" s="76"/>
      <c r="D106" s="77"/>
      <c r="E106" s="92">
        <f>SUM(E99:E105)</f>
        <v>2898.5629901866346</v>
      </c>
      <c r="F106" s="17"/>
      <c r="G106" s="17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" customHeight="1" x14ac:dyDescent="0.2">
      <c r="A107" s="71" t="s">
        <v>31</v>
      </c>
      <c r="B107" s="72" t="s">
        <v>5</v>
      </c>
      <c r="C107" s="79">
        <f>C92</f>
        <v>70.595951999999997</v>
      </c>
      <c r="D107" s="74">
        <f>E106</f>
        <v>2898.5629901866346</v>
      </c>
      <c r="E107" s="74">
        <f>D107*C107/100</f>
        <v>2046.2681372419213</v>
      </c>
      <c r="F107" s="3"/>
      <c r="G107" s="17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" customHeight="1" x14ac:dyDescent="0.2">
      <c r="A108" s="91" t="s">
        <v>43</v>
      </c>
      <c r="B108" s="93"/>
      <c r="C108" s="93"/>
      <c r="D108" s="94"/>
      <c r="E108" s="92">
        <f>E106+E107</f>
        <v>4944.8311274285561</v>
      </c>
      <c r="F108" s="17"/>
      <c r="G108" s="17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" customHeight="1" x14ac:dyDescent="0.2">
      <c r="A109" s="71" t="s">
        <v>33</v>
      </c>
      <c r="B109" s="72" t="s">
        <v>34</v>
      </c>
      <c r="C109" s="81">
        <v>1</v>
      </c>
      <c r="D109" s="74">
        <f>E108</f>
        <v>4944.8311274285561</v>
      </c>
      <c r="E109" s="74">
        <f>C109*D109</f>
        <v>4944.8311274285561</v>
      </c>
      <c r="F109" s="3"/>
      <c r="G109" s="17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" customHeight="1" x14ac:dyDescent="0.2">
      <c r="A110" s="1"/>
      <c r="B110" s="1"/>
      <c r="C110" s="1"/>
      <c r="D110" s="82" t="s">
        <v>35</v>
      </c>
      <c r="E110" s="87">
        <v>0.5</v>
      </c>
      <c r="F110" s="84">
        <f>E109*E110</f>
        <v>2472.4155637142781</v>
      </c>
      <c r="G110" s="17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" customHeight="1" x14ac:dyDescent="0.2">
      <c r="A111" s="1"/>
      <c r="B111" s="1"/>
      <c r="C111" s="1"/>
      <c r="D111" s="3"/>
      <c r="E111" s="3"/>
      <c r="F111" s="3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">
      <c r="A112" s="62" t="s">
        <v>46</v>
      </c>
      <c r="B112" s="1"/>
      <c r="C112" s="1"/>
      <c r="D112" s="3"/>
      <c r="E112" s="3"/>
      <c r="F112" s="3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">
      <c r="A113" s="63" t="s">
        <v>17</v>
      </c>
      <c r="B113" s="64" t="s">
        <v>18</v>
      </c>
      <c r="C113" s="64" t="s">
        <v>11</v>
      </c>
      <c r="D113" s="65" t="s">
        <v>19</v>
      </c>
      <c r="E113" s="65" t="s">
        <v>20</v>
      </c>
      <c r="F113" s="66" t="s">
        <v>47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">
      <c r="A114" s="67" t="s">
        <v>40</v>
      </c>
      <c r="B114" s="68" t="s">
        <v>23</v>
      </c>
      <c r="C114" s="68">
        <v>1</v>
      </c>
      <c r="D114" s="69">
        <v>3201.37</v>
      </c>
      <c r="E114" s="70">
        <f>C114*D114</f>
        <v>3201.37</v>
      </c>
      <c r="F114" s="3"/>
      <c r="G114" s="9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">
      <c r="A115" s="67" t="s">
        <v>41</v>
      </c>
      <c r="B115" s="68" t="s">
        <v>23</v>
      </c>
      <c r="C115" s="68">
        <v>1</v>
      </c>
      <c r="D115" s="69">
        <v>1518</v>
      </c>
      <c r="E115" s="70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">
      <c r="A116" s="71" t="s">
        <v>24</v>
      </c>
      <c r="B116" s="72" t="s">
        <v>25</v>
      </c>
      <c r="C116" s="73">
        <v>7.33</v>
      </c>
      <c r="D116" s="74">
        <f>D114/220*2</f>
        <v>29.103363636363635</v>
      </c>
      <c r="E116" s="74">
        <f t="shared" ref="E116:E117" si="10">C116*D116</f>
        <v>213.32765545454544</v>
      </c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">
      <c r="A117" s="71" t="s">
        <v>26</v>
      </c>
      <c r="B117" s="72" t="s">
        <v>25</v>
      </c>
      <c r="C117" s="73">
        <v>0</v>
      </c>
      <c r="D117" s="74">
        <f>D114/220*1.5</f>
        <v>21.827522727272726</v>
      </c>
      <c r="E117" s="74">
        <f t="shared" si="10"/>
        <v>0</v>
      </c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">
      <c r="A118" s="71" t="s">
        <v>27</v>
      </c>
      <c r="B118" s="72" t="s">
        <v>28</v>
      </c>
      <c r="C118" s="1"/>
      <c r="D118" s="74">
        <f>63/302*(SUM(E116:E117))</f>
        <v>44.502126800120408</v>
      </c>
      <c r="E118" s="74">
        <f>D118</f>
        <v>44.502126800120408</v>
      </c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">
      <c r="A119" s="71" t="s">
        <v>42</v>
      </c>
      <c r="B119" s="72"/>
      <c r="C119" s="89">
        <v>1</v>
      </c>
      <c r="D119" s="74"/>
      <c r="E119" s="74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">
      <c r="A120" s="71" t="s">
        <v>29</v>
      </c>
      <c r="B120" s="72" t="s">
        <v>5</v>
      </c>
      <c r="C120" s="90">
        <v>40</v>
      </c>
      <c r="D120" s="74">
        <f>IF(C119=2,SUM(E114:E118),IF(C119=1,(SUM(E114:E118))*D115/D114,0))</f>
        <v>1640.2556622516556</v>
      </c>
      <c r="E120" s="74">
        <f>C120*D120/100</f>
        <v>656.10226490066225</v>
      </c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">
      <c r="A121" s="91" t="s">
        <v>30</v>
      </c>
      <c r="B121" s="76"/>
      <c r="C121" s="76"/>
      <c r="D121" s="77"/>
      <c r="E121" s="92">
        <f>SUM(E114:E120)</f>
        <v>4115.3020471553282</v>
      </c>
      <c r="F121" s="17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">
      <c r="A122" s="71" t="s">
        <v>31</v>
      </c>
      <c r="B122" s="72" t="s">
        <v>5</v>
      </c>
      <c r="C122" s="79">
        <f>C92</f>
        <v>70.595951999999997</v>
      </c>
      <c r="D122" s="74">
        <f>E121</f>
        <v>4115.3020471553282</v>
      </c>
      <c r="E122" s="74">
        <f>D122*C122/100</f>
        <v>2905.2366578647925</v>
      </c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">
      <c r="A123" s="91" t="s">
        <v>48</v>
      </c>
      <c r="B123" s="93"/>
      <c r="C123" s="93"/>
      <c r="D123" s="94"/>
      <c r="E123" s="92">
        <f>E121+E122</f>
        <v>7020.5387050201207</v>
      </c>
      <c r="F123" s="17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">
      <c r="A124" s="71" t="s">
        <v>33</v>
      </c>
      <c r="B124" s="72" t="s">
        <v>34</v>
      </c>
      <c r="C124" s="90">
        <v>1</v>
      </c>
      <c r="D124" s="74">
        <f>E123</f>
        <v>7020.5387050201207</v>
      </c>
      <c r="E124" s="74">
        <f>C124*D124</f>
        <v>7020.5387050201207</v>
      </c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">
      <c r="A125" s="1"/>
      <c r="B125" s="1"/>
      <c r="C125" s="1"/>
      <c r="D125" s="82" t="s">
        <v>35</v>
      </c>
      <c r="E125" s="83">
        <f>$B$52</f>
        <v>1</v>
      </c>
      <c r="F125" s="84">
        <f>E124*E125</f>
        <v>7020.5387050201207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">
      <c r="A126" s="1"/>
      <c r="B126" s="1"/>
      <c r="C126" s="1"/>
      <c r="D126" s="3"/>
      <c r="E126" s="3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">
      <c r="A127" s="62" t="s">
        <v>49</v>
      </c>
      <c r="B127" s="97"/>
      <c r="C127" s="1"/>
      <c r="D127" s="1"/>
      <c r="E127" s="1"/>
      <c r="F127" s="3"/>
      <c r="G127" s="3"/>
      <c r="H127" s="1"/>
      <c r="I127" s="98"/>
      <c r="J127" s="9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">
      <c r="A128" s="63" t="s">
        <v>17</v>
      </c>
      <c r="B128" s="64" t="s">
        <v>18</v>
      </c>
      <c r="C128" s="64" t="s">
        <v>11</v>
      </c>
      <c r="D128" s="65" t="s">
        <v>19</v>
      </c>
      <c r="E128" s="65" t="s">
        <v>20</v>
      </c>
      <c r="F128" s="66" t="s">
        <v>50</v>
      </c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">
      <c r="A129" s="91" t="s">
        <v>51</v>
      </c>
      <c r="B129" s="99" t="s">
        <v>28</v>
      </c>
      <c r="C129" s="100">
        <v>1</v>
      </c>
      <c r="D129" s="101">
        <v>6.33</v>
      </c>
      <c r="E129" s="74"/>
      <c r="F129" s="3"/>
      <c r="G129" s="3"/>
      <c r="H129" s="9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">
      <c r="A130" s="102" t="s">
        <v>52</v>
      </c>
      <c r="B130" s="99" t="s">
        <v>53</v>
      </c>
      <c r="C130" s="103">
        <v>22</v>
      </c>
      <c r="D130" s="92"/>
      <c r="E130" s="74"/>
      <c r="F130" s="3"/>
      <c r="G130" s="98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">
      <c r="A131" s="102" t="s">
        <v>54</v>
      </c>
      <c r="B131" s="104" t="s">
        <v>53</v>
      </c>
      <c r="C131" s="102">
        <v>26</v>
      </c>
      <c r="D131" s="105"/>
      <c r="E131" s="74"/>
      <c r="F131" s="3"/>
      <c r="G131" s="98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">
      <c r="A132" s="106" t="s">
        <v>55</v>
      </c>
      <c r="B132" s="72" t="s">
        <v>56</v>
      </c>
      <c r="C132" s="107">
        <f>$C$130*2*(C66)</f>
        <v>440</v>
      </c>
      <c r="D132" s="70">
        <f>IFERROR((($C$130*2*$D$129)-(E58*0.06*C130/26))/($C$130*2),"-")</f>
        <v>4.0801038461538459</v>
      </c>
      <c r="E132" s="74">
        <f t="shared" ref="E132:E136" si="11">IFERROR(C132*D132,"-")</f>
        <v>1795.2456923076923</v>
      </c>
      <c r="F132" s="3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">
      <c r="A133" s="106" t="s">
        <v>57</v>
      </c>
      <c r="B133" s="108" t="s">
        <v>56</v>
      </c>
      <c r="C133" s="109">
        <f>$C$131*2*(C79)</f>
        <v>156</v>
      </c>
      <c r="D133" s="70">
        <f>IFERROR((($C$131*2*$D$129)-((E71*0.5)*0.06*C131/26))/($C$131*2),"-")</f>
        <v>5.2050519230769234</v>
      </c>
      <c r="E133" s="74">
        <f t="shared" si="11"/>
        <v>811.98810000000003</v>
      </c>
      <c r="F133" s="3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">
      <c r="A134" s="110" t="s">
        <v>58</v>
      </c>
      <c r="B134" s="68" t="s">
        <v>56</v>
      </c>
      <c r="C134" s="107">
        <f>$C$130*2*C94</f>
        <v>176</v>
      </c>
      <c r="D134" s="70">
        <f>IFERROR(((C130*2*$D$129)-(E84*0.06*C130/26))/(C130*2),"-")</f>
        <v>3.9353999999999996</v>
      </c>
      <c r="E134" s="70">
        <f t="shared" si="11"/>
        <v>692.6303999999999</v>
      </c>
      <c r="F134" s="3"/>
      <c r="G134" s="3"/>
      <c r="H134" s="1"/>
      <c r="I134" s="98"/>
      <c r="J134" s="9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">
      <c r="A135" s="110" t="s">
        <v>59</v>
      </c>
      <c r="B135" s="68" t="s">
        <v>56</v>
      </c>
      <c r="C135" s="109">
        <f>$C$131*2*C109</f>
        <v>52</v>
      </c>
      <c r="D135" s="70">
        <f>IFERROR((($C$131*2*$D$129)-((E99*0.5)*0.06*C131/26))/($C$131*2),"-")</f>
        <v>5.1326999999999998</v>
      </c>
      <c r="E135" s="70">
        <f t="shared" si="11"/>
        <v>266.90039999999999</v>
      </c>
      <c r="F135" s="3"/>
      <c r="G135" s="3"/>
      <c r="H135" s="1"/>
      <c r="I135" s="98"/>
      <c r="J135" s="9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">
      <c r="A136" s="67" t="s">
        <v>60</v>
      </c>
      <c r="B136" s="68" t="s">
        <v>56</v>
      </c>
      <c r="C136" s="107">
        <f>26*2*C124</f>
        <v>52</v>
      </c>
      <c r="D136" s="70">
        <f>IFERROR(((C130*2*$D$129)-(E114*0.06*C130/26))/(C130*2),"-")</f>
        <v>2.6361115384615386</v>
      </c>
      <c r="E136" s="70">
        <f t="shared" si="11"/>
        <v>137.0778</v>
      </c>
      <c r="F136" s="3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">
      <c r="A137" s="264"/>
      <c r="B137" s="265"/>
      <c r="C137" s="265"/>
      <c r="D137" s="265"/>
      <c r="E137" s="266"/>
      <c r="F137" s="111">
        <f>SUM(E132:E136)</f>
        <v>3703.8423923076921</v>
      </c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">
      <c r="A138" s="1"/>
      <c r="B138" s="1"/>
      <c r="C138" s="1"/>
      <c r="D138" s="3"/>
      <c r="E138" s="3"/>
      <c r="F138" s="3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">
      <c r="A139" s="62" t="s">
        <v>61</v>
      </c>
      <c r="B139" s="1"/>
      <c r="C139" s="1"/>
      <c r="D139" s="3"/>
      <c r="E139" s="3"/>
      <c r="F139" s="17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">
      <c r="A140" s="63" t="s">
        <v>17</v>
      </c>
      <c r="B140" s="64" t="s">
        <v>18</v>
      </c>
      <c r="C140" s="64" t="s">
        <v>11</v>
      </c>
      <c r="D140" s="65" t="s">
        <v>19</v>
      </c>
      <c r="E140" s="65" t="s">
        <v>20</v>
      </c>
      <c r="F140" s="66" t="s">
        <v>62</v>
      </c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">
      <c r="A141" s="71" t="str">
        <f>+A132</f>
        <v>Coletor (jornada integral)</v>
      </c>
      <c r="B141" s="72" t="s">
        <v>63</v>
      </c>
      <c r="C141" s="112">
        <f>C130*(E41)</f>
        <v>220</v>
      </c>
      <c r="D141" s="113">
        <v>25.42</v>
      </c>
      <c r="E141" s="114">
        <f t="shared" ref="E141:E142" si="12">C141*D141*0.81</f>
        <v>4529.844000000001</v>
      </c>
      <c r="F141" s="17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">
      <c r="A142" s="71" t="str">
        <f>A133</f>
        <v>Coletor (metade da jornada)</v>
      </c>
      <c r="B142" s="72" t="s">
        <v>63</v>
      </c>
      <c r="C142" s="112">
        <f>C130*(E42)</f>
        <v>66</v>
      </c>
      <c r="D142" s="115">
        <v>12.71</v>
      </c>
      <c r="E142" s="114">
        <f t="shared" si="12"/>
        <v>679.47660000000008</v>
      </c>
      <c r="F142" s="17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">
      <c r="A143" s="71" t="str">
        <f>+A134</f>
        <v>Motorista (jornada integral)</v>
      </c>
      <c r="B143" s="72" t="s">
        <v>63</v>
      </c>
      <c r="C143" s="112">
        <f t="shared" ref="C143:C144" si="13">C130*(E43)</f>
        <v>88</v>
      </c>
      <c r="D143" s="113">
        <v>16.52</v>
      </c>
      <c r="E143" s="114">
        <f t="shared" ref="E143:E144" si="14">C143*D143*0.8</f>
        <v>1163.008</v>
      </c>
      <c r="F143" s="17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">
      <c r="A144" s="71" t="str">
        <f>A135</f>
        <v>Motorista (metade da jornada)</v>
      </c>
      <c r="B144" s="72" t="s">
        <v>63</v>
      </c>
      <c r="C144" s="112">
        <f t="shared" si="13"/>
        <v>26</v>
      </c>
      <c r="D144" s="113">
        <f>D143</f>
        <v>16.52</v>
      </c>
      <c r="E144" s="114">
        <f t="shared" si="14"/>
        <v>343.61599999999999</v>
      </c>
      <c r="F144" s="17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">
      <c r="A145" s="71" t="str">
        <f>+A136</f>
        <v>Gerente</v>
      </c>
      <c r="B145" s="72" t="s">
        <v>63</v>
      </c>
      <c r="C145" s="112">
        <f>26*(E45)</f>
        <v>26</v>
      </c>
      <c r="D145" s="113">
        <f>D141</f>
        <v>25.42</v>
      </c>
      <c r="E145" s="114">
        <f>C145*D145*0.81</f>
        <v>535.34520000000009</v>
      </c>
      <c r="F145" s="17"/>
      <c r="G145" s="3"/>
      <c r="H145" s="1"/>
      <c r="I145" s="98"/>
      <c r="J145" s="9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">
      <c r="A146" s="1"/>
      <c r="B146" s="1"/>
      <c r="C146" s="1"/>
      <c r="D146" s="3"/>
      <c r="E146" s="3"/>
      <c r="F146" s="111">
        <f>SUM(E141:E145)</f>
        <v>7251.2898000000005</v>
      </c>
      <c r="G146" s="3"/>
      <c r="H146" s="1"/>
      <c r="I146" s="98"/>
      <c r="J146" s="9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">
      <c r="A147" s="1"/>
      <c r="B147" s="1"/>
      <c r="C147" s="1"/>
      <c r="D147" s="3"/>
      <c r="E147" s="3"/>
      <c r="F147" s="3"/>
      <c r="G147" s="3"/>
      <c r="H147" s="1"/>
      <c r="I147" s="98"/>
      <c r="J147" s="9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">
      <c r="A148" s="62" t="s">
        <v>64</v>
      </c>
      <c r="B148" s="1"/>
      <c r="C148" s="1"/>
      <c r="D148" s="3"/>
      <c r="E148" s="3"/>
      <c r="F148" s="17"/>
      <c r="G148" s="3"/>
      <c r="H148" s="1"/>
      <c r="I148" s="98"/>
      <c r="J148" s="9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">
      <c r="A149" s="63" t="s">
        <v>17</v>
      </c>
      <c r="B149" s="64" t="s">
        <v>18</v>
      </c>
      <c r="C149" s="64" t="s">
        <v>11</v>
      </c>
      <c r="D149" s="65" t="s">
        <v>19</v>
      </c>
      <c r="E149" s="65" t="s">
        <v>20</v>
      </c>
      <c r="F149" s="66" t="s">
        <v>65</v>
      </c>
      <c r="G149" s="3"/>
      <c r="H149" s="1"/>
      <c r="I149" s="98"/>
      <c r="J149" s="9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">
      <c r="A150" s="71" t="str">
        <f t="shared" ref="A150:A154" si="15">+A141</f>
        <v>Coletor (jornada integral)</v>
      </c>
      <c r="B150" s="72" t="s">
        <v>63</v>
      </c>
      <c r="C150" s="107">
        <f t="shared" ref="C150:C154" si="16">E41</f>
        <v>10</v>
      </c>
      <c r="D150" s="116">
        <v>0</v>
      </c>
      <c r="E150" s="117">
        <f>C150*D150</f>
        <v>0</v>
      </c>
      <c r="F150" s="17"/>
      <c r="G150" s="3"/>
      <c r="H150" s="1"/>
      <c r="I150" s="98"/>
      <c r="J150" s="9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">
      <c r="A151" s="71" t="str">
        <f t="shared" si="15"/>
        <v>Coletor (metade da jornada)</v>
      </c>
      <c r="B151" s="72" t="s">
        <v>63</v>
      </c>
      <c r="C151" s="107">
        <f t="shared" si="16"/>
        <v>3</v>
      </c>
      <c r="D151" s="116"/>
      <c r="E151" s="117"/>
      <c r="F151" s="17"/>
      <c r="G151" s="3"/>
      <c r="H151" s="1"/>
      <c r="I151" s="98"/>
      <c r="J151" s="9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">
      <c r="A152" s="71" t="str">
        <f t="shared" si="15"/>
        <v>Motorista (jornada integral)</v>
      </c>
      <c r="B152" s="72" t="s">
        <v>63</v>
      </c>
      <c r="C152" s="107">
        <f t="shared" si="16"/>
        <v>4</v>
      </c>
      <c r="D152" s="116">
        <v>125.35</v>
      </c>
      <c r="E152" s="117">
        <f t="shared" ref="E152:E153" si="17">C152*D152*0.8</f>
        <v>401.12</v>
      </c>
      <c r="F152" s="17"/>
      <c r="G152" s="3"/>
      <c r="H152" s="1"/>
      <c r="I152" s="98"/>
      <c r="J152" s="9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">
      <c r="A153" s="71" t="str">
        <f t="shared" si="15"/>
        <v>Motorista (metade da jornada)</v>
      </c>
      <c r="B153" s="72" t="s">
        <v>63</v>
      </c>
      <c r="C153" s="107">
        <f t="shared" si="16"/>
        <v>1</v>
      </c>
      <c r="D153" s="118">
        <v>125.35</v>
      </c>
      <c r="E153" s="117">
        <f t="shared" si="17"/>
        <v>100.28</v>
      </c>
      <c r="F153" s="17"/>
      <c r="G153" s="3"/>
      <c r="H153" s="1"/>
      <c r="I153" s="98"/>
      <c r="J153" s="9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">
      <c r="A154" s="71" t="str">
        <f t="shared" si="15"/>
        <v>Gerente</v>
      </c>
      <c r="B154" s="72" t="s">
        <v>63</v>
      </c>
      <c r="C154" s="107">
        <f t="shared" si="16"/>
        <v>1</v>
      </c>
      <c r="D154" s="116">
        <v>0</v>
      </c>
      <c r="E154" s="117">
        <f>C154*D154</f>
        <v>0</v>
      </c>
      <c r="F154" s="17"/>
      <c r="G154" s="3"/>
      <c r="H154" s="1"/>
      <c r="I154" s="98"/>
      <c r="J154" s="9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">
      <c r="A155" s="1"/>
      <c r="B155" s="1"/>
      <c r="C155" s="1"/>
      <c r="D155" s="82" t="s">
        <v>35</v>
      </c>
      <c r="E155" s="117">
        <f>$B$52</f>
        <v>1</v>
      </c>
      <c r="F155" s="111">
        <f>SUM(E150:E154)*E155</f>
        <v>501.4</v>
      </c>
      <c r="G155" s="3"/>
      <c r="H155" s="1"/>
      <c r="I155" s="98"/>
      <c r="J155" s="9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">
      <c r="A156" s="1"/>
      <c r="B156" s="1"/>
      <c r="C156" s="1"/>
      <c r="D156" s="3"/>
      <c r="E156" s="3"/>
      <c r="F156" s="3"/>
      <c r="G156" s="3"/>
      <c r="H156" s="1"/>
      <c r="I156" s="98"/>
      <c r="J156" s="9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">
      <c r="A157" s="62" t="s">
        <v>66</v>
      </c>
      <c r="B157" s="1"/>
      <c r="C157" s="1"/>
      <c r="D157" s="3"/>
      <c r="E157" s="3"/>
      <c r="F157" s="17"/>
      <c r="G157" s="3"/>
      <c r="H157" s="1"/>
      <c r="I157" s="98"/>
      <c r="J157" s="9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">
      <c r="A158" s="63" t="s">
        <v>17</v>
      </c>
      <c r="B158" s="64" t="s">
        <v>18</v>
      </c>
      <c r="C158" s="64" t="s">
        <v>11</v>
      </c>
      <c r="D158" s="65" t="s">
        <v>19</v>
      </c>
      <c r="E158" s="65" t="s">
        <v>20</v>
      </c>
      <c r="F158" s="66" t="s">
        <v>67</v>
      </c>
      <c r="G158" s="3"/>
      <c r="H158" s="1"/>
      <c r="I158" s="98"/>
      <c r="J158" s="9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">
      <c r="A159" s="71" t="str">
        <f t="shared" ref="A159:A163" si="18">+A150</f>
        <v>Coletor (jornada integral)</v>
      </c>
      <c r="B159" s="72" t="s">
        <v>63</v>
      </c>
      <c r="C159" s="119">
        <f t="shared" ref="C159:C162" si="19">E41</f>
        <v>10</v>
      </c>
      <c r="D159" s="116">
        <v>24.1</v>
      </c>
      <c r="E159" s="74">
        <f t="shared" ref="E159:E160" si="20">C159*D159</f>
        <v>241</v>
      </c>
      <c r="F159" s="17"/>
      <c r="G159" s="3"/>
      <c r="H159" s="1"/>
      <c r="I159" s="98"/>
      <c r="J159" s="9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">
      <c r="A160" s="71" t="str">
        <f t="shared" si="18"/>
        <v>Coletor (metade da jornada)</v>
      </c>
      <c r="B160" s="72" t="s">
        <v>63</v>
      </c>
      <c r="C160" s="119">
        <f t="shared" si="19"/>
        <v>3</v>
      </c>
      <c r="D160" s="118">
        <v>24.1</v>
      </c>
      <c r="E160" s="74">
        <f t="shared" si="20"/>
        <v>72.300000000000011</v>
      </c>
      <c r="F160" s="17"/>
      <c r="G160" s="3"/>
      <c r="H160" s="1"/>
      <c r="I160" s="98"/>
      <c r="J160" s="9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">
      <c r="A161" s="71" t="str">
        <f t="shared" si="18"/>
        <v>Motorista (jornada integral)</v>
      </c>
      <c r="B161" s="72" t="s">
        <v>63</v>
      </c>
      <c r="C161" s="119">
        <f t="shared" si="19"/>
        <v>4</v>
      </c>
      <c r="D161" s="116" t="s">
        <v>68</v>
      </c>
      <c r="E161" s="74" t="s">
        <v>68</v>
      </c>
      <c r="F161" s="17"/>
      <c r="G161" s="3"/>
      <c r="H161" s="1"/>
      <c r="I161" s="98"/>
      <c r="J161" s="9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">
      <c r="A162" s="71" t="str">
        <f t="shared" si="18"/>
        <v>Motorista (metade da jornada)</v>
      </c>
      <c r="B162" s="72" t="s">
        <v>63</v>
      </c>
      <c r="C162" s="119">
        <f t="shared" si="19"/>
        <v>1</v>
      </c>
      <c r="D162" s="118" t="s">
        <v>68</v>
      </c>
      <c r="E162" s="74"/>
      <c r="F162" s="17"/>
      <c r="G162" s="3"/>
      <c r="H162" s="1"/>
      <c r="I162" s="98"/>
      <c r="J162" s="9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">
      <c r="A163" s="71" t="str">
        <f t="shared" si="18"/>
        <v>Gerente</v>
      </c>
      <c r="B163" s="72" t="s">
        <v>63</v>
      </c>
      <c r="C163" s="119">
        <f>C154</f>
        <v>1</v>
      </c>
      <c r="D163" s="116">
        <v>24.1</v>
      </c>
      <c r="E163" s="74">
        <f>C163*D163</f>
        <v>24.1</v>
      </c>
      <c r="F163" s="17"/>
      <c r="G163" s="3"/>
      <c r="H163" s="1"/>
      <c r="I163" s="98"/>
      <c r="J163" s="9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">
      <c r="A164" s="1"/>
      <c r="B164" s="1"/>
      <c r="C164" s="1"/>
      <c r="D164" s="82" t="s">
        <v>35</v>
      </c>
      <c r="E164" s="117">
        <f>$B$52</f>
        <v>1</v>
      </c>
      <c r="F164" s="111">
        <f>SUM(E159:E163)*E164</f>
        <v>337.40000000000003</v>
      </c>
      <c r="G164" s="3"/>
      <c r="H164" s="1"/>
      <c r="I164" s="98"/>
      <c r="J164" s="9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">
      <c r="A165" s="1"/>
      <c r="B165" s="1"/>
      <c r="C165" s="1"/>
      <c r="D165" s="3"/>
      <c r="E165" s="3"/>
      <c r="F165" s="3"/>
      <c r="G165" s="3"/>
      <c r="H165" s="1"/>
      <c r="I165" s="98"/>
      <c r="J165" s="9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">
      <c r="A166" s="120" t="s">
        <v>69</v>
      </c>
      <c r="B166" s="121"/>
      <c r="C166" s="121"/>
      <c r="D166" s="35"/>
      <c r="E166" s="122"/>
      <c r="F166" s="111">
        <f>F67+F80+F95+F110+F125+F137+F146+F155+F164</f>
        <v>98935.605489833848</v>
      </c>
      <c r="G166" s="3"/>
      <c r="H166" s="1"/>
      <c r="I166" s="98"/>
      <c r="J166" s="9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">
      <c r="A167" s="1"/>
      <c r="B167" s="1"/>
      <c r="C167" s="1"/>
      <c r="D167" s="3"/>
      <c r="E167" s="3"/>
      <c r="F167" s="3"/>
      <c r="G167" s="3"/>
      <c r="H167" s="1"/>
      <c r="I167" s="98"/>
      <c r="J167" s="9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">
      <c r="A168" s="18" t="s">
        <v>70</v>
      </c>
      <c r="B168" s="1"/>
      <c r="C168" s="1"/>
      <c r="D168" s="3"/>
      <c r="E168" s="3"/>
      <c r="F168" s="3"/>
      <c r="G168" s="3"/>
      <c r="H168" s="1"/>
      <c r="I168" s="98"/>
      <c r="J168" s="9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">
      <c r="A169" s="1"/>
      <c r="B169" s="1"/>
      <c r="C169" s="1"/>
      <c r="D169" s="3"/>
      <c r="E169" s="3"/>
      <c r="F169" s="3"/>
      <c r="G169" s="3"/>
      <c r="H169" s="1"/>
      <c r="I169" s="98"/>
      <c r="J169" s="9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">
      <c r="A170" s="18" t="s">
        <v>71</v>
      </c>
      <c r="B170" s="1"/>
      <c r="C170" s="1"/>
      <c r="D170" s="3"/>
      <c r="E170" s="3"/>
      <c r="F170" s="3"/>
      <c r="G170" s="3"/>
      <c r="H170" s="1"/>
      <c r="I170" s="98"/>
      <c r="J170" s="9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">
      <c r="A171" s="1"/>
      <c r="B171" s="1"/>
      <c r="C171" s="1"/>
      <c r="D171" s="3"/>
      <c r="E171" s="3"/>
      <c r="F171" s="3"/>
      <c r="G171" s="3"/>
      <c r="H171" s="1"/>
      <c r="I171" s="98"/>
      <c r="J171" s="98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" customHeight="1" x14ac:dyDescent="0.2">
      <c r="A172" s="63" t="s">
        <v>17</v>
      </c>
      <c r="B172" s="64" t="s">
        <v>18</v>
      </c>
      <c r="C172" s="123" t="s">
        <v>72</v>
      </c>
      <c r="D172" s="65" t="s">
        <v>19</v>
      </c>
      <c r="E172" s="65" t="s">
        <v>20</v>
      </c>
      <c r="F172" s="66" t="s">
        <v>73</v>
      </c>
      <c r="G172" s="3"/>
      <c r="H172" s="1"/>
      <c r="I172" s="98"/>
      <c r="J172" s="9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">
      <c r="A173" s="67" t="s">
        <v>74</v>
      </c>
      <c r="B173" s="68" t="s">
        <v>63</v>
      </c>
      <c r="C173" s="124">
        <v>6</v>
      </c>
      <c r="D173" s="69">
        <v>112.33</v>
      </c>
      <c r="E173" s="70">
        <f t="shared" ref="E173:E182" si="21">IFERROR(D173/C173,0)</f>
        <v>18.721666666666668</v>
      </c>
      <c r="F173" s="3"/>
      <c r="G173" s="3"/>
      <c r="H173" s="1"/>
      <c r="I173" s="98"/>
      <c r="J173" s="98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">
      <c r="A174" s="71" t="s">
        <v>75</v>
      </c>
      <c r="B174" s="72" t="s">
        <v>63</v>
      </c>
      <c r="C174" s="124">
        <v>3</v>
      </c>
      <c r="D174" s="69">
        <v>46.91</v>
      </c>
      <c r="E174" s="70">
        <f t="shared" si="21"/>
        <v>15.636666666666665</v>
      </c>
      <c r="F174" s="3"/>
      <c r="G174" s="3"/>
      <c r="H174" s="1"/>
      <c r="I174" s="98"/>
      <c r="J174" s="98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">
      <c r="A175" s="71" t="s">
        <v>76</v>
      </c>
      <c r="B175" s="72" t="s">
        <v>63</v>
      </c>
      <c r="C175" s="124">
        <v>3</v>
      </c>
      <c r="D175" s="69">
        <v>20.3</v>
      </c>
      <c r="E175" s="70">
        <f t="shared" si="21"/>
        <v>6.7666666666666666</v>
      </c>
      <c r="F175" s="3"/>
      <c r="G175" s="3"/>
      <c r="H175" s="1"/>
      <c r="I175" s="98"/>
      <c r="J175" s="98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">
      <c r="A176" s="71" t="s">
        <v>77</v>
      </c>
      <c r="B176" s="72" t="s">
        <v>63</v>
      </c>
      <c r="C176" s="124">
        <v>6</v>
      </c>
      <c r="D176" s="69">
        <v>24.22</v>
      </c>
      <c r="E176" s="70">
        <f t="shared" si="21"/>
        <v>4.0366666666666662</v>
      </c>
      <c r="F176" s="3"/>
      <c r="G176" s="3"/>
      <c r="H176" s="1"/>
      <c r="I176" s="98"/>
      <c r="J176" s="98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">
      <c r="A177" s="71" t="s">
        <v>78</v>
      </c>
      <c r="B177" s="72" t="s">
        <v>79</v>
      </c>
      <c r="C177" s="124">
        <v>6</v>
      </c>
      <c r="D177" s="69">
        <v>53.17</v>
      </c>
      <c r="E177" s="70">
        <f t="shared" si="21"/>
        <v>8.8616666666666664</v>
      </c>
      <c r="F177" s="3"/>
      <c r="G177" s="3"/>
      <c r="H177" s="1"/>
      <c r="I177" s="98"/>
      <c r="J177" s="9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">
      <c r="A178" s="71" t="s">
        <v>80</v>
      </c>
      <c r="B178" s="72" t="s">
        <v>79</v>
      </c>
      <c r="C178" s="124">
        <v>1</v>
      </c>
      <c r="D178" s="69">
        <v>4.54</v>
      </c>
      <c r="E178" s="70">
        <f t="shared" si="21"/>
        <v>4.54</v>
      </c>
      <c r="F178" s="3"/>
      <c r="G178" s="3"/>
      <c r="H178" s="1"/>
      <c r="I178" s="98"/>
      <c r="J178" s="98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">
      <c r="A179" s="71" t="s">
        <v>81</v>
      </c>
      <c r="B179" s="72" t="s">
        <v>63</v>
      </c>
      <c r="C179" s="124">
        <v>6</v>
      </c>
      <c r="D179" s="69">
        <v>24.98</v>
      </c>
      <c r="E179" s="70">
        <f t="shared" si="21"/>
        <v>4.1633333333333331</v>
      </c>
      <c r="F179" s="3"/>
      <c r="G179" s="3"/>
      <c r="H179" s="1"/>
      <c r="I179" s="98"/>
      <c r="J179" s="9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">
      <c r="A180" s="125" t="s">
        <v>82</v>
      </c>
      <c r="B180" s="126" t="s">
        <v>63</v>
      </c>
      <c r="C180" s="124">
        <v>6</v>
      </c>
      <c r="D180" s="69">
        <v>15.67</v>
      </c>
      <c r="E180" s="70">
        <f t="shared" si="21"/>
        <v>2.6116666666666668</v>
      </c>
      <c r="F180" s="127"/>
      <c r="G180" s="3"/>
      <c r="H180" s="1"/>
      <c r="I180" s="98"/>
      <c r="J180" s="98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">
      <c r="A181" s="71" t="s">
        <v>83</v>
      </c>
      <c r="B181" s="72" t="s">
        <v>79</v>
      </c>
      <c r="C181" s="128">
        <v>0.5</v>
      </c>
      <c r="D181" s="69">
        <v>19.420000000000002</v>
      </c>
      <c r="E181" s="70">
        <f t="shared" si="21"/>
        <v>38.840000000000003</v>
      </c>
      <c r="F181" s="3"/>
      <c r="G181" s="3"/>
      <c r="H181" s="1"/>
      <c r="I181" s="98"/>
      <c r="J181" s="98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">
      <c r="A182" s="71" t="s">
        <v>84</v>
      </c>
      <c r="B182" s="72" t="s">
        <v>85</v>
      </c>
      <c r="C182" s="124">
        <v>1</v>
      </c>
      <c r="D182" s="69">
        <v>14.13</v>
      </c>
      <c r="E182" s="70">
        <f t="shared" si="21"/>
        <v>14.13</v>
      </c>
      <c r="F182" s="3"/>
      <c r="G182" s="3"/>
      <c r="H182" s="1"/>
      <c r="I182" s="98"/>
      <c r="J182" s="9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">
      <c r="A183" s="71" t="s">
        <v>86</v>
      </c>
      <c r="B183" s="72" t="s">
        <v>87</v>
      </c>
      <c r="C183" s="95">
        <v>1</v>
      </c>
      <c r="D183" s="69">
        <v>80</v>
      </c>
      <c r="E183" s="74">
        <f t="shared" ref="E183:E184" si="22">C183*D183</f>
        <v>80</v>
      </c>
      <c r="F183" s="3"/>
      <c r="G183" s="3"/>
      <c r="H183" s="1"/>
      <c r="I183" s="98"/>
      <c r="J183" s="98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">
      <c r="A184" s="71" t="s">
        <v>33</v>
      </c>
      <c r="B184" s="72" t="s">
        <v>34</v>
      </c>
      <c r="C184" s="95">
        <f>E41</f>
        <v>10</v>
      </c>
      <c r="D184" s="74">
        <f>+SUM(E173:E183)</f>
        <v>198.30833333333334</v>
      </c>
      <c r="E184" s="74">
        <f t="shared" si="22"/>
        <v>1983.0833333333335</v>
      </c>
      <c r="F184" s="3"/>
      <c r="G184" s="3"/>
      <c r="H184" s="1"/>
      <c r="I184" s="98"/>
      <c r="J184" s="9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">
      <c r="A185" s="1"/>
      <c r="B185" s="1"/>
      <c r="C185" s="1"/>
      <c r="D185" s="82" t="s">
        <v>35</v>
      </c>
      <c r="E185" s="83">
        <f>$B$52</f>
        <v>1</v>
      </c>
      <c r="F185" s="84">
        <f>E184*E185</f>
        <v>1983.0833333333335</v>
      </c>
      <c r="G185" s="3"/>
      <c r="H185" s="1"/>
      <c r="I185" s="98"/>
      <c r="J185" s="98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">
      <c r="A186" s="1"/>
      <c r="B186" s="1"/>
      <c r="C186" s="1"/>
      <c r="D186" s="3"/>
      <c r="E186" s="3"/>
      <c r="F186" s="3"/>
      <c r="G186" s="3"/>
      <c r="H186" s="1"/>
      <c r="I186" s="98"/>
      <c r="J186" s="98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">
      <c r="A187" s="18" t="s">
        <v>88</v>
      </c>
      <c r="B187" s="1"/>
      <c r="C187" s="1"/>
      <c r="D187" s="3"/>
      <c r="E187" s="3"/>
      <c r="F187" s="3"/>
      <c r="G187" s="3"/>
      <c r="H187" s="1"/>
      <c r="I187" s="98"/>
      <c r="J187" s="98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">
      <c r="A188" s="1"/>
      <c r="B188" s="1"/>
      <c r="C188" s="1"/>
      <c r="D188" s="3"/>
      <c r="E188" s="3"/>
      <c r="F188" s="3"/>
      <c r="G188" s="3"/>
      <c r="H188" s="1"/>
      <c r="I188" s="98"/>
      <c r="J188" s="98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" customHeight="1" x14ac:dyDescent="0.2">
      <c r="A189" s="63" t="s">
        <v>17</v>
      </c>
      <c r="B189" s="64" t="s">
        <v>18</v>
      </c>
      <c r="C189" s="123" t="s">
        <v>72</v>
      </c>
      <c r="D189" s="65" t="s">
        <v>19</v>
      </c>
      <c r="E189" s="65" t="s">
        <v>20</v>
      </c>
      <c r="F189" s="66" t="s">
        <v>89</v>
      </c>
      <c r="G189" s="3"/>
      <c r="H189" s="1"/>
      <c r="I189" s="98"/>
      <c r="J189" s="98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">
      <c r="A190" s="67" t="s">
        <v>74</v>
      </c>
      <c r="B190" s="68" t="s">
        <v>63</v>
      </c>
      <c r="C190" s="124">
        <v>12</v>
      </c>
      <c r="D190" s="70">
        <f t="shared" ref="D190:D192" si="23">+D173</f>
        <v>112.33</v>
      </c>
      <c r="E190" s="70">
        <f t="shared" ref="E190:E195" si="24">IFERROR(D190/C190,0)</f>
        <v>9.3608333333333338</v>
      </c>
      <c r="F190" s="3"/>
      <c r="G190" s="3"/>
      <c r="H190" s="1"/>
      <c r="I190" s="98"/>
      <c r="J190" s="98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">
      <c r="A191" s="71" t="s">
        <v>75</v>
      </c>
      <c r="B191" s="72" t="s">
        <v>63</v>
      </c>
      <c r="C191" s="124">
        <v>3</v>
      </c>
      <c r="D191" s="74">
        <f t="shared" si="23"/>
        <v>46.91</v>
      </c>
      <c r="E191" s="70">
        <f t="shared" si="24"/>
        <v>15.636666666666665</v>
      </c>
      <c r="F191" s="3"/>
      <c r="G191" s="3"/>
      <c r="H191" s="1"/>
      <c r="I191" s="98"/>
      <c r="J191" s="98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">
      <c r="A192" s="71" t="s">
        <v>76</v>
      </c>
      <c r="B192" s="72" t="s">
        <v>63</v>
      </c>
      <c r="C192" s="124">
        <v>3</v>
      </c>
      <c r="D192" s="74">
        <f t="shared" si="23"/>
        <v>20.3</v>
      </c>
      <c r="E192" s="70">
        <f t="shared" si="24"/>
        <v>6.7666666666666666</v>
      </c>
      <c r="F192" s="3"/>
      <c r="G192" s="3"/>
      <c r="H192" s="1"/>
      <c r="I192" s="98"/>
      <c r="J192" s="9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">
      <c r="A193" s="71" t="s">
        <v>90</v>
      </c>
      <c r="B193" s="72" t="s">
        <v>79</v>
      </c>
      <c r="C193" s="124">
        <v>6</v>
      </c>
      <c r="D193" s="74">
        <f>+D177</f>
        <v>53.17</v>
      </c>
      <c r="E193" s="70">
        <f t="shared" si="24"/>
        <v>8.8616666666666664</v>
      </c>
      <c r="F193" s="3"/>
      <c r="G193" s="3"/>
      <c r="H193" s="1"/>
      <c r="I193" s="98"/>
      <c r="J193" s="98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">
      <c r="A194" s="71" t="s">
        <v>81</v>
      </c>
      <c r="B194" s="72" t="s">
        <v>63</v>
      </c>
      <c r="C194" s="124">
        <v>6</v>
      </c>
      <c r="D194" s="74">
        <f>+D179</f>
        <v>24.98</v>
      </c>
      <c r="E194" s="70">
        <f t="shared" si="24"/>
        <v>4.1633333333333331</v>
      </c>
      <c r="F194" s="3"/>
      <c r="G194" s="3"/>
      <c r="H194" s="1"/>
      <c r="I194" s="98"/>
      <c r="J194" s="98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">
      <c r="A195" s="71" t="s">
        <v>84</v>
      </c>
      <c r="B195" s="72" t="s">
        <v>85</v>
      </c>
      <c r="C195" s="124">
        <v>2</v>
      </c>
      <c r="D195" s="74">
        <f>+D182</f>
        <v>14.13</v>
      </c>
      <c r="E195" s="70">
        <f t="shared" si="24"/>
        <v>7.0650000000000004</v>
      </c>
      <c r="F195" s="3"/>
      <c r="G195" s="3"/>
      <c r="H195" s="1"/>
      <c r="I195" s="98"/>
      <c r="J195" s="98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">
      <c r="A196" s="71" t="s">
        <v>86</v>
      </c>
      <c r="B196" s="72" t="s">
        <v>87</v>
      </c>
      <c r="C196" s="95">
        <v>1</v>
      </c>
      <c r="D196" s="69">
        <v>80</v>
      </c>
      <c r="E196" s="74">
        <f t="shared" ref="E196:E197" si="25">C196*D196</f>
        <v>80</v>
      </c>
      <c r="F196" s="3"/>
      <c r="G196" s="3"/>
      <c r="H196" s="1"/>
      <c r="I196" s="98"/>
      <c r="J196" s="98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">
      <c r="A197" s="71" t="s">
        <v>33</v>
      </c>
      <c r="B197" s="72" t="s">
        <v>34</v>
      </c>
      <c r="C197" s="95">
        <f>E43+E45</f>
        <v>5</v>
      </c>
      <c r="D197" s="74">
        <f>+SUM(E190:E196)</f>
        <v>131.85416666666666</v>
      </c>
      <c r="E197" s="74">
        <f t="shared" si="25"/>
        <v>659.27083333333326</v>
      </c>
      <c r="F197" s="3"/>
      <c r="G197" s="3"/>
      <c r="H197" s="1"/>
      <c r="I197" s="98"/>
      <c r="J197" s="9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">
      <c r="A198" s="1"/>
      <c r="B198" s="1"/>
      <c r="C198" s="1"/>
      <c r="D198" s="82" t="s">
        <v>35</v>
      </c>
      <c r="E198" s="83">
        <f>$B$52</f>
        <v>1</v>
      </c>
      <c r="F198" s="84">
        <f>E197*E198</f>
        <v>659.27083333333326</v>
      </c>
      <c r="G198" s="3"/>
      <c r="H198" s="1"/>
      <c r="I198" s="98"/>
      <c r="J198" s="98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">
      <c r="A199" s="1"/>
      <c r="B199" s="1"/>
      <c r="C199" s="1"/>
      <c r="D199" s="3"/>
      <c r="E199" s="3"/>
      <c r="F199" s="3"/>
      <c r="G199" s="3"/>
      <c r="H199" s="1"/>
      <c r="I199" s="98"/>
      <c r="J199" s="98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">
      <c r="A200" s="120" t="s">
        <v>91</v>
      </c>
      <c r="B200" s="129"/>
      <c r="C200" s="129"/>
      <c r="D200" s="130"/>
      <c r="E200" s="131"/>
      <c r="F200" s="84">
        <f>+F185+F198</f>
        <v>2642.354166666667</v>
      </c>
      <c r="G200" s="3"/>
      <c r="H200" s="1"/>
      <c r="I200" s="98"/>
      <c r="J200" s="98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">
      <c r="A201" s="1"/>
      <c r="B201" s="1"/>
      <c r="C201" s="1"/>
      <c r="D201" s="3"/>
      <c r="E201" s="3"/>
      <c r="F201" s="3"/>
      <c r="G201" s="3"/>
      <c r="H201" s="1"/>
      <c r="I201" s="98"/>
      <c r="J201" s="98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">
      <c r="A202" s="18" t="s">
        <v>92</v>
      </c>
      <c r="B202" s="1"/>
      <c r="C202" s="1"/>
      <c r="D202" s="3"/>
      <c r="E202" s="3"/>
      <c r="F202" s="3"/>
      <c r="G202" s="3"/>
      <c r="H202" s="1"/>
      <c r="I202" s="98"/>
      <c r="J202" s="98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">
      <c r="A203" s="1"/>
      <c r="B203" s="132"/>
      <c r="C203" s="1"/>
      <c r="D203" s="3"/>
      <c r="E203" s="3"/>
      <c r="F203" s="3"/>
      <c r="G203" s="3"/>
      <c r="H203" s="1"/>
      <c r="I203" s="98"/>
      <c r="J203" s="98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">
      <c r="A204" s="18" t="s">
        <v>93</v>
      </c>
      <c r="B204" s="1"/>
      <c r="C204" s="1"/>
      <c r="D204" s="3"/>
      <c r="E204" s="3"/>
      <c r="F204" s="3"/>
      <c r="G204" s="3"/>
      <c r="H204" s="1"/>
      <c r="I204" s="98"/>
      <c r="J204" s="98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">
      <c r="A205" s="1"/>
      <c r="B205" s="1"/>
      <c r="C205" s="1"/>
      <c r="D205" s="3"/>
      <c r="E205" s="3"/>
      <c r="F205" s="3"/>
      <c r="G205" s="3"/>
      <c r="H205" s="1"/>
      <c r="I205" s="98"/>
      <c r="J205" s="98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">
      <c r="A206" s="132" t="s">
        <v>6</v>
      </c>
      <c r="B206" s="1"/>
      <c r="C206" s="1"/>
      <c r="D206" s="3"/>
      <c r="E206" s="3"/>
      <c r="F206" s="3"/>
      <c r="G206" s="3"/>
      <c r="H206" s="1"/>
      <c r="I206" s="98"/>
      <c r="J206" s="98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0" customHeight="1" x14ac:dyDescent="0.2">
      <c r="A207" s="63" t="s">
        <v>17</v>
      </c>
      <c r="B207" s="64" t="s">
        <v>18</v>
      </c>
      <c r="C207" s="123" t="s">
        <v>94</v>
      </c>
      <c r="D207" s="65" t="s">
        <v>19</v>
      </c>
      <c r="E207" s="65" t="s">
        <v>20</v>
      </c>
      <c r="F207" s="66" t="s">
        <v>95</v>
      </c>
      <c r="G207" s="3"/>
      <c r="H207" s="1"/>
      <c r="I207" s="98"/>
      <c r="J207" s="98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">
      <c r="A208" s="67" t="s">
        <v>96</v>
      </c>
      <c r="B208" s="68" t="s">
        <v>63</v>
      </c>
      <c r="C208" s="68">
        <v>1</v>
      </c>
      <c r="D208" s="133">
        <v>616766.67000000004</v>
      </c>
      <c r="E208" s="70">
        <f>SUM(D208:D209)</f>
        <v>619766.67000000004</v>
      </c>
      <c r="F208" s="3"/>
      <c r="G208" s="3"/>
      <c r="H208" s="1"/>
      <c r="I208" s="98"/>
      <c r="J208" s="98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">
      <c r="A209" s="67" t="s">
        <v>97</v>
      </c>
      <c r="B209" s="68" t="s">
        <v>63</v>
      </c>
      <c r="C209" s="68">
        <v>1</v>
      </c>
      <c r="D209" s="134">
        <v>3000</v>
      </c>
      <c r="E209" s="70"/>
      <c r="F209" s="3"/>
      <c r="G209" s="3"/>
      <c r="H209" s="1"/>
      <c r="I209" s="98"/>
      <c r="J209" s="98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">
      <c r="A210" s="71" t="s">
        <v>98</v>
      </c>
      <c r="B210" s="72" t="s">
        <v>99</v>
      </c>
      <c r="C210" s="90">
        <v>10</v>
      </c>
      <c r="D210" s="74"/>
      <c r="E210" s="74"/>
      <c r="F210" s="3"/>
      <c r="G210" s="3"/>
      <c r="H210" s="1"/>
      <c r="I210" s="98"/>
      <c r="J210" s="98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">
      <c r="A211" s="71" t="s">
        <v>100</v>
      </c>
      <c r="B211" s="72" t="s">
        <v>99</v>
      </c>
      <c r="C211" s="90">
        <v>5</v>
      </c>
      <c r="D211" s="74"/>
      <c r="E211" s="74"/>
      <c r="F211" s="135"/>
      <c r="G211" s="3"/>
      <c r="H211" s="1"/>
      <c r="I211" s="98"/>
      <c r="J211" s="98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">
      <c r="A212" s="71" t="s">
        <v>101</v>
      </c>
      <c r="B212" s="72" t="s">
        <v>5</v>
      </c>
      <c r="C212" s="79">
        <f>IFERROR(VLOOKUP(C210,'5. Depreciação'!A3:B17,2,FALSE),0)</f>
        <v>65.180000000000007</v>
      </c>
      <c r="D212" s="74">
        <f>E208</f>
        <v>619766.67000000004</v>
      </c>
      <c r="E212" s="74">
        <f>C212*D212/100</f>
        <v>403963.91550600005</v>
      </c>
      <c r="F212" s="3"/>
      <c r="G212" s="3"/>
      <c r="H212" s="1"/>
      <c r="I212" s="98"/>
      <c r="J212" s="98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">
      <c r="A213" s="91" t="s">
        <v>102</v>
      </c>
      <c r="B213" s="99" t="s">
        <v>23</v>
      </c>
      <c r="C213" s="99">
        <f>C210*12</f>
        <v>120</v>
      </c>
      <c r="D213" s="92">
        <f>IF(C211&lt;=C210,E212,0)</f>
        <v>403963.91550600005</v>
      </c>
      <c r="E213" s="92">
        <f>IFERROR(D213/C213,0)</f>
        <v>3366.3659625500004</v>
      </c>
      <c r="F213" s="3"/>
      <c r="G213" s="3"/>
      <c r="H213" s="1"/>
      <c r="I213" s="98"/>
      <c r="J213" s="98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">
      <c r="A214" s="71" t="s">
        <v>103</v>
      </c>
      <c r="B214" s="72" t="s">
        <v>63</v>
      </c>
      <c r="C214" s="72">
        <f>C208</f>
        <v>1</v>
      </c>
      <c r="D214" s="116">
        <v>0</v>
      </c>
      <c r="E214" s="74">
        <f>C214*D214</f>
        <v>0</v>
      </c>
      <c r="F214" s="3"/>
      <c r="G214" s="3"/>
      <c r="H214" s="1"/>
      <c r="I214" s="98"/>
      <c r="J214" s="98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">
      <c r="A215" s="71" t="s">
        <v>104</v>
      </c>
      <c r="B215" s="72" t="s">
        <v>99</v>
      </c>
      <c r="C215" s="90">
        <v>10</v>
      </c>
      <c r="D215" s="74"/>
      <c r="E215" s="74"/>
      <c r="F215" s="3"/>
      <c r="G215" s="3"/>
      <c r="H215" s="1"/>
      <c r="I215" s="98"/>
      <c r="J215" s="98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">
      <c r="A216" s="71" t="s">
        <v>105</v>
      </c>
      <c r="B216" s="72" t="s">
        <v>99</v>
      </c>
      <c r="C216" s="90">
        <v>6</v>
      </c>
      <c r="D216" s="74"/>
      <c r="E216" s="74"/>
      <c r="F216" s="13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2">
      <c r="A217" s="71" t="s">
        <v>106</v>
      </c>
      <c r="B217" s="72" t="s">
        <v>5</v>
      </c>
      <c r="C217" s="136">
        <f>IFERROR(VLOOKUP(C215,'5. Depreciação'!A3:B17,2,FALSE),0)</f>
        <v>65.180000000000007</v>
      </c>
      <c r="D217" s="74">
        <f>E214</f>
        <v>0</v>
      </c>
      <c r="E217" s="74">
        <f>C217*D217/100</f>
        <v>0</v>
      </c>
      <c r="F217" s="3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">
      <c r="A218" s="91" t="s">
        <v>107</v>
      </c>
      <c r="B218" s="99" t="s">
        <v>23</v>
      </c>
      <c r="C218" s="99">
        <f>C215*12</f>
        <v>120</v>
      </c>
      <c r="D218" s="92">
        <f>IF(C216&lt;=C215,E217,0)</f>
        <v>0</v>
      </c>
      <c r="E218" s="92">
        <f>IFERROR(D218/C218,0)</f>
        <v>0</v>
      </c>
      <c r="F218" s="3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">
      <c r="A219" s="75" t="s">
        <v>108</v>
      </c>
      <c r="B219" s="76"/>
      <c r="C219" s="76"/>
      <c r="D219" s="77"/>
      <c r="E219" s="78">
        <f>E213+E218</f>
        <v>3366.3659625500004</v>
      </c>
      <c r="F219" s="3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">
      <c r="A220" s="91" t="s">
        <v>109</v>
      </c>
      <c r="B220" s="99" t="s">
        <v>63</v>
      </c>
      <c r="C220" s="90">
        <v>3.3</v>
      </c>
      <c r="D220" s="92">
        <f>E219</f>
        <v>3366.3659625500004</v>
      </c>
      <c r="E220" s="78">
        <f>C220*D220</f>
        <v>11109.007676415</v>
      </c>
      <c r="F220" s="3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">
      <c r="A221" s="137"/>
      <c r="B221" s="137"/>
      <c r="C221" s="137"/>
      <c r="D221" s="82" t="s">
        <v>35</v>
      </c>
      <c r="E221" s="117">
        <f>$B$52</f>
        <v>1</v>
      </c>
      <c r="F221" s="84">
        <f>E221*E220</f>
        <v>11109.007676415</v>
      </c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">
      <c r="A222" s="267" t="s">
        <v>110</v>
      </c>
      <c r="B222" s="268"/>
      <c r="C222" s="268"/>
      <c r="D222" s="268"/>
      <c r="E222" s="3"/>
      <c r="F222" s="77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">
      <c r="A223" s="1"/>
      <c r="B223" s="1"/>
      <c r="C223" s="1"/>
      <c r="D223" s="3"/>
      <c r="E223" s="3"/>
      <c r="F223" s="3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">
      <c r="A224" s="138" t="s">
        <v>7</v>
      </c>
      <c r="B224" s="1"/>
      <c r="C224" s="1"/>
      <c r="D224" s="3"/>
      <c r="E224" s="3"/>
      <c r="F224" s="3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">
      <c r="A225" s="63" t="s">
        <v>17</v>
      </c>
      <c r="B225" s="64" t="s">
        <v>18</v>
      </c>
      <c r="C225" s="64" t="s">
        <v>11</v>
      </c>
      <c r="D225" s="65" t="s">
        <v>19</v>
      </c>
      <c r="E225" s="65" t="s">
        <v>20</v>
      </c>
      <c r="F225" s="66" t="s">
        <v>111</v>
      </c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">
      <c r="A226" s="67" t="s">
        <v>112</v>
      </c>
      <c r="B226" s="68" t="s">
        <v>63</v>
      </c>
      <c r="C226" s="68">
        <v>1</v>
      </c>
      <c r="D226" s="70">
        <f>D208</f>
        <v>616766.67000000004</v>
      </c>
      <c r="E226" s="70">
        <f>C226*D226</f>
        <v>616766.67000000004</v>
      </c>
      <c r="F226" s="135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">
      <c r="A227" s="71" t="s">
        <v>113</v>
      </c>
      <c r="B227" s="72" t="s">
        <v>5</v>
      </c>
      <c r="C227" s="90">
        <v>15</v>
      </c>
      <c r="D227" s="74"/>
      <c r="E227" s="74"/>
      <c r="F227" s="135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">
      <c r="A228" s="71" t="s">
        <v>114</v>
      </c>
      <c r="B228" s="72" t="s">
        <v>28</v>
      </c>
      <c r="C228" s="74">
        <f>IFERROR(IF(C211&lt;=C210,E208-(C212/(100*C210)*C211)*E208,E208-E212),0)</f>
        <v>417784.71224700002</v>
      </c>
      <c r="D228" s="74"/>
      <c r="E228" s="74"/>
      <c r="F228" s="135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">
      <c r="A229" s="71" t="s">
        <v>115</v>
      </c>
      <c r="B229" s="72" t="s">
        <v>28</v>
      </c>
      <c r="C229" s="74">
        <f>IFERROR(IF(C211&gt;=C210,C228,((((C228)-(E208-E212))*(((C210-C211)+1)/(2*(C210-C211))))+(E208-E212))),0)</f>
        <v>336991.92914580001</v>
      </c>
      <c r="D229" s="74"/>
      <c r="E229" s="74"/>
      <c r="F229" s="135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">
      <c r="A230" s="91" t="s">
        <v>116</v>
      </c>
      <c r="B230" s="99" t="s">
        <v>28</v>
      </c>
      <c r="C230" s="99"/>
      <c r="D230" s="92">
        <f>C227*C229/12/100</f>
        <v>4212.3991143225003</v>
      </c>
      <c r="E230" s="92">
        <f>D230</f>
        <v>4212.3991143225003</v>
      </c>
      <c r="F230" s="135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">
      <c r="A231" s="71" t="s">
        <v>117</v>
      </c>
      <c r="B231" s="72" t="s">
        <v>63</v>
      </c>
      <c r="C231" s="72">
        <f t="shared" ref="C231:D231" si="26">C214</f>
        <v>1</v>
      </c>
      <c r="D231" s="74">
        <f t="shared" si="26"/>
        <v>0</v>
      </c>
      <c r="E231" s="74">
        <f>C231*D231</f>
        <v>0</v>
      </c>
      <c r="F231" s="135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">
      <c r="A232" s="71" t="s">
        <v>113</v>
      </c>
      <c r="B232" s="72" t="s">
        <v>5</v>
      </c>
      <c r="C232" s="72">
        <f>C227</f>
        <v>15</v>
      </c>
      <c r="D232" s="74"/>
      <c r="E232" s="74"/>
      <c r="F232" s="135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">
      <c r="A233" s="71" t="s">
        <v>118</v>
      </c>
      <c r="B233" s="72" t="s">
        <v>28</v>
      </c>
      <c r="C233" s="74">
        <f>IFERROR(IF(C216&lt;=C215,E214-(C217/(100*C215)*C216)*E214,E214-E217),0)</f>
        <v>0</v>
      </c>
      <c r="D233" s="74"/>
      <c r="E233" s="74"/>
      <c r="F233" s="135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">
      <c r="A234" s="71" t="s">
        <v>119</v>
      </c>
      <c r="B234" s="72" t="s">
        <v>28</v>
      </c>
      <c r="C234" s="74">
        <f>IFERROR(IF(C216&gt;=C215,C233,((((C233)-(E214-E217))*(((C215-C216)+1)/(2*(C215-C216))))+(E214-E217))),0)</f>
        <v>0</v>
      </c>
      <c r="D234" s="74"/>
      <c r="E234" s="74"/>
      <c r="F234" s="135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">
      <c r="A235" s="91" t="s">
        <v>120</v>
      </c>
      <c r="B235" s="99" t="s">
        <v>28</v>
      </c>
      <c r="C235" s="99"/>
      <c r="D235" s="92">
        <f>C232*C234/12/100</f>
        <v>0</v>
      </c>
      <c r="E235" s="92">
        <f>D235</f>
        <v>0</v>
      </c>
      <c r="F235" s="135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">
      <c r="A236" s="75" t="s">
        <v>108</v>
      </c>
      <c r="B236" s="76"/>
      <c r="C236" s="76"/>
      <c r="D236" s="77"/>
      <c r="E236" s="78">
        <f>E230+E235</f>
        <v>4212.3991143225003</v>
      </c>
      <c r="F236" s="135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">
      <c r="A237" s="91" t="s">
        <v>109</v>
      </c>
      <c r="B237" s="99" t="s">
        <v>63</v>
      </c>
      <c r="C237" s="72">
        <f>C220</f>
        <v>3.3</v>
      </c>
      <c r="D237" s="92">
        <f>E236</f>
        <v>4212.3991143225003</v>
      </c>
      <c r="E237" s="78">
        <f>C237*D237</f>
        <v>13900.91707726425</v>
      </c>
      <c r="F237" s="135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">
      <c r="A238" s="1"/>
      <c r="B238" s="1"/>
      <c r="C238" s="139"/>
      <c r="D238" s="82" t="s">
        <v>35</v>
      </c>
      <c r="E238" s="117">
        <f>$B$52</f>
        <v>1</v>
      </c>
      <c r="F238" s="84">
        <f>E237*E238</f>
        <v>13900.91707726425</v>
      </c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">
      <c r="A239" s="269" t="s">
        <v>110</v>
      </c>
      <c r="B239" s="268"/>
      <c r="C239" s="268"/>
      <c r="D239" s="268"/>
      <c r="E239" s="3"/>
      <c r="F239" s="77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">
      <c r="A240" s="1"/>
      <c r="B240" s="1"/>
      <c r="C240" s="1"/>
      <c r="D240" s="3"/>
      <c r="E240" s="3"/>
      <c r="F240" s="3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">
      <c r="A241" s="18" t="s">
        <v>121</v>
      </c>
      <c r="B241" s="1"/>
      <c r="C241" s="1"/>
      <c r="D241" s="3"/>
      <c r="E241" s="3"/>
      <c r="F241" s="3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</row>
    <row r="242" spans="1:26" ht="15" customHeight="1" x14ac:dyDescent="0.2">
      <c r="A242" s="63" t="s">
        <v>17</v>
      </c>
      <c r="B242" s="64" t="s">
        <v>18</v>
      </c>
      <c r="C242" s="64" t="s">
        <v>11</v>
      </c>
      <c r="D242" s="65" t="s">
        <v>19</v>
      </c>
      <c r="E242" s="65" t="s">
        <v>20</v>
      </c>
      <c r="F242" s="66" t="s">
        <v>122</v>
      </c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">
      <c r="A243" s="67" t="s">
        <v>123</v>
      </c>
      <c r="B243" s="68" t="s">
        <v>63</v>
      </c>
      <c r="C243" s="69">
        <v>3</v>
      </c>
      <c r="D243" s="70">
        <f>0.01*($E$208)</f>
        <v>6197.6667000000007</v>
      </c>
      <c r="E243" s="70">
        <f t="shared" ref="E243:E245" si="27">C243*D243</f>
        <v>18593.000100000001</v>
      </c>
      <c r="F243" s="3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">
      <c r="A244" s="71" t="s">
        <v>124</v>
      </c>
      <c r="B244" s="72" t="s">
        <v>63</v>
      </c>
      <c r="C244" s="70">
        <f>C243</f>
        <v>3</v>
      </c>
      <c r="D244" s="116">
        <v>100</v>
      </c>
      <c r="E244" s="74">
        <f t="shared" si="27"/>
        <v>300</v>
      </c>
      <c r="F244" s="3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">
      <c r="A245" s="71" t="s">
        <v>125</v>
      </c>
      <c r="B245" s="72" t="s">
        <v>63</v>
      </c>
      <c r="C245" s="70">
        <f>C243</f>
        <v>3</v>
      </c>
      <c r="D245" s="116">
        <v>1500</v>
      </c>
      <c r="E245" s="74">
        <f t="shared" si="27"/>
        <v>4500</v>
      </c>
      <c r="F245" s="77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">
      <c r="A246" s="91" t="s">
        <v>126</v>
      </c>
      <c r="B246" s="99" t="s">
        <v>23</v>
      </c>
      <c r="C246" s="99">
        <v>12</v>
      </c>
      <c r="D246" s="92">
        <f>SUM(E243:E245)</f>
        <v>23393.000100000001</v>
      </c>
      <c r="E246" s="92">
        <f>D246/C246</f>
        <v>1949.4166750000002</v>
      </c>
      <c r="F246" s="3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">
      <c r="A247" s="1"/>
      <c r="B247" s="1"/>
      <c r="C247" s="1"/>
      <c r="D247" s="82" t="s">
        <v>35</v>
      </c>
      <c r="E247" s="83">
        <f>$B$52</f>
        <v>1</v>
      </c>
      <c r="F247" s="84">
        <f>E246*E247</f>
        <v>1949.4166750000002</v>
      </c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">
      <c r="A248" s="1"/>
      <c r="B248" s="1"/>
      <c r="C248" s="1"/>
      <c r="D248" s="3"/>
      <c r="E248" s="3"/>
      <c r="F248" s="3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">
      <c r="A249" s="18" t="s">
        <v>127</v>
      </c>
      <c r="B249" s="141"/>
      <c r="C249" s="1"/>
      <c r="D249" s="3"/>
      <c r="E249" s="3"/>
      <c r="F249" s="3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">
      <c r="A250" s="1"/>
      <c r="B250" s="141"/>
      <c r="C250" s="1"/>
      <c r="D250" s="3"/>
      <c r="E250" s="3"/>
      <c r="F250" s="3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">
      <c r="A251" s="91" t="s">
        <v>128</v>
      </c>
      <c r="B251" s="142">
        <v>7600</v>
      </c>
      <c r="C251" s="1"/>
      <c r="D251" s="3"/>
      <c r="E251" s="3"/>
      <c r="F251" s="3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2">
      <c r="A252" s="1"/>
      <c r="B252" s="141"/>
      <c r="C252" s="1"/>
      <c r="D252" s="3"/>
      <c r="E252" s="3"/>
      <c r="F252" s="3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">
      <c r="A253" s="63" t="s">
        <v>17</v>
      </c>
      <c r="B253" s="64" t="s">
        <v>18</v>
      </c>
      <c r="C253" s="64" t="s">
        <v>129</v>
      </c>
      <c r="D253" s="65" t="s">
        <v>19</v>
      </c>
      <c r="E253" s="65" t="s">
        <v>20</v>
      </c>
      <c r="F253" s="66" t="s">
        <v>130</v>
      </c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">
      <c r="A254" s="67" t="s">
        <v>131</v>
      </c>
      <c r="B254" s="68" t="s">
        <v>132</v>
      </c>
      <c r="C254" s="143">
        <v>3</v>
      </c>
      <c r="D254" s="144">
        <v>6.09</v>
      </c>
      <c r="E254" s="70"/>
      <c r="F254" s="3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">
      <c r="A255" s="71" t="s">
        <v>133</v>
      </c>
      <c r="B255" s="72" t="s">
        <v>134</v>
      </c>
      <c r="C255" s="119">
        <f>B251</f>
        <v>7600</v>
      </c>
      <c r="D255" s="145">
        <f>IFERROR(+D254/C254,"-")</f>
        <v>2.0299999999999998</v>
      </c>
      <c r="E255" s="74">
        <f>IFERROR(C255*D255,"-")</f>
        <v>15427.999999999998</v>
      </c>
      <c r="F255" s="3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">
      <c r="A256" s="71" t="s">
        <v>135</v>
      </c>
      <c r="B256" s="72" t="s">
        <v>132</v>
      </c>
      <c r="C256" s="146">
        <v>60</v>
      </c>
      <c r="D256" s="147">
        <v>8</v>
      </c>
      <c r="E256" s="74"/>
      <c r="F256" s="3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">
      <c r="A257" s="71" t="s">
        <v>136</v>
      </c>
      <c r="B257" s="72" t="s">
        <v>134</v>
      </c>
      <c r="C257" s="148">
        <f>B251</f>
        <v>7600</v>
      </c>
      <c r="D257" s="117">
        <f>IFERROR(+D256/C256,"-")</f>
        <v>0.13333333333333333</v>
      </c>
      <c r="E257" s="74">
        <f>IFERROR(C257*D257,"-")</f>
        <v>1013.3333333333334</v>
      </c>
      <c r="F257" s="3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">
      <c r="A258" s="71" t="s">
        <v>137</v>
      </c>
      <c r="B258" s="72" t="s">
        <v>138</v>
      </c>
      <c r="C258" s="146">
        <v>5</v>
      </c>
      <c r="D258" s="116">
        <v>20</v>
      </c>
      <c r="E258" s="74"/>
      <c r="F258" s="3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">
      <c r="A259" s="71" t="s">
        <v>139</v>
      </c>
      <c r="B259" s="72" t="s">
        <v>134</v>
      </c>
      <c r="C259" s="119">
        <f>C255</f>
        <v>7600</v>
      </c>
      <c r="D259" s="145">
        <f>+C258*D258/1000</f>
        <v>0.1</v>
      </c>
      <c r="E259" s="74">
        <f>C259*D259</f>
        <v>760</v>
      </c>
      <c r="F259" s="3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">
      <c r="A260" s="71" t="s">
        <v>140</v>
      </c>
      <c r="B260" s="72" t="s">
        <v>138</v>
      </c>
      <c r="C260" s="146">
        <v>1</v>
      </c>
      <c r="D260" s="116">
        <v>23</v>
      </c>
      <c r="E260" s="74"/>
      <c r="F260" s="3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 x14ac:dyDescent="0.2">
      <c r="A261" s="71" t="s">
        <v>141</v>
      </c>
      <c r="B261" s="72" t="s">
        <v>134</v>
      </c>
      <c r="C261" s="119">
        <f>C255</f>
        <v>7600</v>
      </c>
      <c r="D261" s="145">
        <f>+C260*D260/1000</f>
        <v>2.3E-2</v>
      </c>
      <c r="E261" s="74">
        <f>C261*D261</f>
        <v>174.79999999999998</v>
      </c>
      <c r="F261" s="3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 x14ac:dyDescent="0.2">
      <c r="A262" s="71" t="s">
        <v>142</v>
      </c>
      <c r="B262" s="72" t="s">
        <v>138</v>
      </c>
      <c r="C262" s="146">
        <v>15</v>
      </c>
      <c r="D262" s="116">
        <v>25</v>
      </c>
      <c r="E262" s="74"/>
      <c r="F262" s="3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 x14ac:dyDescent="0.2">
      <c r="A263" s="71" t="s">
        <v>143</v>
      </c>
      <c r="B263" s="72" t="s">
        <v>134</v>
      </c>
      <c r="C263" s="119">
        <f>C255</f>
        <v>7600</v>
      </c>
      <c r="D263" s="145">
        <f>+C262*D262/1000</f>
        <v>0.375</v>
      </c>
      <c r="E263" s="74">
        <f>C263*D263</f>
        <v>2850</v>
      </c>
      <c r="F263" s="3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 x14ac:dyDescent="0.2">
      <c r="A264" s="71" t="s">
        <v>144</v>
      </c>
      <c r="B264" s="72" t="s">
        <v>145</v>
      </c>
      <c r="C264" s="146">
        <v>1</v>
      </c>
      <c r="D264" s="116">
        <v>27</v>
      </c>
      <c r="E264" s="74"/>
      <c r="F264" s="3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 x14ac:dyDescent="0.2">
      <c r="A265" s="71" t="s">
        <v>144</v>
      </c>
      <c r="B265" s="72" t="s">
        <v>134</v>
      </c>
      <c r="C265" s="119">
        <f>C255</f>
        <v>7600</v>
      </c>
      <c r="D265" s="145">
        <f>+C264*D264/1000</f>
        <v>2.7E-2</v>
      </c>
      <c r="E265" s="74">
        <f>C265*D265</f>
        <v>205.2</v>
      </c>
      <c r="F265" s="3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 x14ac:dyDescent="0.2">
      <c r="A266" s="91" t="s">
        <v>146</v>
      </c>
      <c r="B266" s="99" t="s">
        <v>147</v>
      </c>
      <c r="C266" s="100"/>
      <c r="D266" s="149">
        <f>IFERROR(D255+D259+D261+D263+D265,0)</f>
        <v>2.5550000000000002</v>
      </c>
      <c r="E266" s="74"/>
      <c r="F266" s="3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 x14ac:dyDescent="0.2">
      <c r="A267" s="1"/>
      <c r="B267" s="1"/>
      <c r="C267" s="1"/>
      <c r="D267" s="3"/>
      <c r="E267" s="3"/>
      <c r="F267" s="84">
        <f>SUM(E254:E265)</f>
        <v>20431.333333333332</v>
      </c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 x14ac:dyDescent="0.2">
      <c r="A268" s="1"/>
      <c r="B268" s="1"/>
      <c r="C268" s="1"/>
      <c r="D268" s="3"/>
      <c r="E268" s="3"/>
      <c r="F268" s="3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 x14ac:dyDescent="0.2">
      <c r="A269" s="18" t="s">
        <v>148</v>
      </c>
      <c r="B269" s="1"/>
      <c r="C269" s="1"/>
      <c r="D269" s="3"/>
      <c r="E269" s="3"/>
      <c r="F269" s="3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 x14ac:dyDescent="0.2">
      <c r="A270" s="63" t="s">
        <v>17</v>
      </c>
      <c r="B270" s="64" t="s">
        <v>18</v>
      </c>
      <c r="C270" s="64" t="s">
        <v>11</v>
      </c>
      <c r="D270" s="65" t="s">
        <v>19</v>
      </c>
      <c r="E270" s="65" t="s">
        <v>20</v>
      </c>
      <c r="F270" s="66" t="s">
        <v>149</v>
      </c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 x14ac:dyDescent="0.2">
      <c r="A271" s="67" t="s">
        <v>150</v>
      </c>
      <c r="B271" s="68" t="s">
        <v>147</v>
      </c>
      <c r="C271" s="119">
        <f>C255</f>
        <v>7600</v>
      </c>
      <c r="D271" s="69">
        <v>2.5</v>
      </c>
      <c r="E271" s="70">
        <f>C271*D271</f>
        <v>19000</v>
      </c>
      <c r="F271" s="3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customHeight="1" x14ac:dyDescent="0.2">
      <c r="A272" s="1"/>
      <c r="B272" s="1"/>
      <c r="C272" s="1"/>
      <c r="D272" s="3"/>
      <c r="E272" s="3"/>
      <c r="F272" s="84">
        <f>E271</f>
        <v>19000</v>
      </c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customHeight="1" x14ac:dyDescent="0.2">
      <c r="A273" s="1"/>
      <c r="B273" s="1"/>
      <c r="C273" s="1"/>
      <c r="D273" s="3"/>
      <c r="E273" s="3"/>
      <c r="F273" s="3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customHeight="1" x14ac:dyDescent="0.2">
      <c r="A274" s="18" t="s">
        <v>151</v>
      </c>
      <c r="B274" s="1"/>
      <c r="C274" s="1"/>
      <c r="D274" s="3"/>
      <c r="E274" s="3"/>
      <c r="F274" s="3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customHeight="1" x14ac:dyDescent="0.2">
      <c r="A275" s="63" t="s">
        <v>17</v>
      </c>
      <c r="B275" s="64" t="s">
        <v>18</v>
      </c>
      <c r="C275" s="64" t="s">
        <v>11</v>
      </c>
      <c r="D275" s="65" t="s">
        <v>19</v>
      </c>
      <c r="E275" s="65" t="s">
        <v>20</v>
      </c>
      <c r="F275" s="66" t="s">
        <v>152</v>
      </c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customHeight="1" x14ac:dyDescent="0.2">
      <c r="A276" s="67" t="s">
        <v>153</v>
      </c>
      <c r="B276" s="68" t="s">
        <v>63</v>
      </c>
      <c r="C276" s="150">
        <v>18</v>
      </c>
      <c r="D276" s="69">
        <v>2000</v>
      </c>
      <c r="E276" s="70">
        <f>C276*D276</f>
        <v>36000</v>
      </c>
      <c r="F276" s="3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 x14ac:dyDescent="0.2">
      <c r="A277" s="67" t="s">
        <v>154</v>
      </c>
      <c r="B277" s="68" t="s">
        <v>63</v>
      </c>
      <c r="C277" s="150">
        <v>1</v>
      </c>
      <c r="D277" s="70"/>
      <c r="E277" s="70"/>
      <c r="F277" s="3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 x14ac:dyDescent="0.2">
      <c r="A278" s="67" t="s">
        <v>155</v>
      </c>
      <c r="B278" s="68" t="s">
        <v>63</v>
      </c>
      <c r="C278" s="70">
        <f>C276*C277</f>
        <v>18</v>
      </c>
      <c r="D278" s="69">
        <v>709</v>
      </c>
      <c r="E278" s="70">
        <f>C278*D278</f>
        <v>12762</v>
      </c>
      <c r="F278" s="3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 x14ac:dyDescent="0.2">
      <c r="A279" s="71" t="s">
        <v>156</v>
      </c>
      <c r="B279" s="72" t="s">
        <v>157</v>
      </c>
      <c r="C279" s="151">
        <v>100000</v>
      </c>
      <c r="D279" s="74">
        <f>E276+E278</f>
        <v>48762</v>
      </c>
      <c r="E279" s="74">
        <f>IFERROR(D279/C279,"-")</f>
        <v>0.48762</v>
      </c>
      <c r="F279" s="3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 x14ac:dyDescent="0.2">
      <c r="A280" s="71" t="s">
        <v>158</v>
      </c>
      <c r="B280" s="72" t="s">
        <v>134</v>
      </c>
      <c r="C280" s="119">
        <f>B251</f>
        <v>7600</v>
      </c>
      <c r="D280" s="74">
        <f>E279</f>
        <v>0.48762</v>
      </c>
      <c r="E280" s="74">
        <f>IFERROR(C280*D280,0)</f>
        <v>3705.9119999999998</v>
      </c>
      <c r="F280" s="3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 x14ac:dyDescent="0.2">
      <c r="A281" s="1"/>
      <c r="B281" s="1"/>
      <c r="C281" s="1"/>
      <c r="D281" s="3"/>
      <c r="E281" s="3"/>
      <c r="F281" s="84">
        <f>E280</f>
        <v>3705.9119999999998</v>
      </c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 x14ac:dyDescent="0.2">
      <c r="A282" s="1"/>
      <c r="B282" s="1"/>
      <c r="C282" s="1"/>
      <c r="D282" s="3"/>
      <c r="E282" s="3"/>
      <c r="F282" s="3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 x14ac:dyDescent="0.2">
      <c r="A283" s="18" t="s">
        <v>159</v>
      </c>
      <c r="B283" s="1"/>
      <c r="C283" s="1"/>
      <c r="D283" s="3"/>
      <c r="E283" s="3"/>
      <c r="F283" s="3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 x14ac:dyDescent="0.2">
      <c r="A284" s="1"/>
      <c r="B284" s="1"/>
      <c r="C284" s="1"/>
      <c r="D284" s="3"/>
      <c r="E284" s="3"/>
      <c r="F284" s="3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 x14ac:dyDescent="0.2">
      <c r="A285" s="152" t="s">
        <v>160</v>
      </c>
      <c r="B285" s="1"/>
      <c r="C285" s="1"/>
      <c r="D285" s="3"/>
      <c r="E285" s="3"/>
      <c r="F285" s="3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 x14ac:dyDescent="0.2">
      <c r="A286" s="63" t="s">
        <v>17</v>
      </c>
      <c r="B286" s="64" t="s">
        <v>18</v>
      </c>
      <c r="C286" s="64" t="s">
        <v>11</v>
      </c>
      <c r="D286" s="65" t="s">
        <v>19</v>
      </c>
      <c r="E286" s="65" t="s">
        <v>20</v>
      </c>
      <c r="F286" s="66" t="s">
        <v>161</v>
      </c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 x14ac:dyDescent="0.2">
      <c r="A287" s="67" t="s">
        <v>162</v>
      </c>
      <c r="B287" s="68" t="s">
        <v>63</v>
      </c>
      <c r="C287" s="68">
        <v>1</v>
      </c>
      <c r="D287" s="69">
        <v>146833.32999999999</v>
      </c>
      <c r="E287" s="70">
        <f>C287*D287</f>
        <v>146833.32999999999</v>
      </c>
      <c r="F287" s="3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 x14ac:dyDescent="0.2">
      <c r="A288" s="71" t="s">
        <v>98</v>
      </c>
      <c r="B288" s="72" t="s">
        <v>99</v>
      </c>
      <c r="C288" s="90">
        <v>10</v>
      </c>
      <c r="D288" s="74"/>
      <c r="E288" s="74"/>
      <c r="F288" s="3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 x14ac:dyDescent="0.2">
      <c r="A289" s="71" t="s">
        <v>100</v>
      </c>
      <c r="B289" s="72" t="s">
        <v>99</v>
      </c>
      <c r="C289" s="90">
        <v>6</v>
      </c>
      <c r="D289" s="74"/>
      <c r="E289" s="74"/>
      <c r="F289" s="135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customHeight="1" x14ac:dyDescent="0.2">
      <c r="A290" s="71" t="s">
        <v>101</v>
      </c>
      <c r="B290" s="72" t="s">
        <v>5</v>
      </c>
      <c r="C290" s="79">
        <f>IFERROR(VLOOKUP(C288,'5. Depreciação'!A3:B17,2,FALSE),0)</f>
        <v>65.180000000000007</v>
      </c>
      <c r="D290" s="74">
        <f>E287</f>
        <v>146833.32999999999</v>
      </c>
      <c r="E290" s="74">
        <f>C290*D290/100</f>
        <v>95705.964494</v>
      </c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customHeight="1" x14ac:dyDescent="0.2">
      <c r="A291" s="91" t="s">
        <v>102</v>
      </c>
      <c r="B291" s="99" t="s">
        <v>23</v>
      </c>
      <c r="C291" s="99">
        <f>C288*12</f>
        <v>120</v>
      </c>
      <c r="D291" s="92">
        <f>IF(C289&lt;=C288,E290,0)</f>
        <v>95705.964494</v>
      </c>
      <c r="E291" s="92">
        <f>IFERROR(D291/C291,0)</f>
        <v>797.5497041166667</v>
      </c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 x14ac:dyDescent="0.2">
      <c r="A292" s="71" t="s">
        <v>163</v>
      </c>
      <c r="B292" s="72" t="s">
        <v>63</v>
      </c>
      <c r="C292" s="72">
        <f>C287</f>
        <v>1</v>
      </c>
      <c r="D292" s="116">
        <v>10000</v>
      </c>
      <c r="E292" s="74">
        <f>C292*D292</f>
        <v>10000</v>
      </c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customHeight="1" x14ac:dyDescent="0.2">
      <c r="A293" s="71" t="s">
        <v>164</v>
      </c>
      <c r="B293" s="72" t="s">
        <v>99</v>
      </c>
      <c r="C293" s="90">
        <v>10</v>
      </c>
      <c r="D293" s="74"/>
      <c r="E293" s="74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customHeight="1" x14ac:dyDescent="0.2">
      <c r="A294" s="71" t="s">
        <v>165</v>
      </c>
      <c r="B294" s="72" t="s">
        <v>99</v>
      </c>
      <c r="C294" s="90">
        <v>6</v>
      </c>
      <c r="D294" s="74"/>
      <c r="E294" s="74"/>
      <c r="F294" s="13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customHeight="1" x14ac:dyDescent="0.2">
      <c r="A295" s="71" t="s">
        <v>166</v>
      </c>
      <c r="B295" s="72" t="s">
        <v>5</v>
      </c>
      <c r="C295" s="136">
        <f>IFERROR(VLOOKUP(C293,'5. Depreciação'!A3:B17,2,FALSE),0)</f>
        <v>65.180000000000007</v>
      </c>
      <c r="D295" s="74">
        <f>E292</f>
        <v>10000</v>
      </c>
      <c r="E295" s="74">
        <f>C295*D295/100</f>
        <v>6518.0000000000009</v>
      </c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customHeight="1" x14ac:dyDescent="0.2">
      <c r="A296" s="91" t="s">
        <v>167</v>
      </c>
      <c r="B296" s="99" t="s">
        <v>23</v>
      </c>
      <c r="C296" s="99">
        <f>C293*12</f>
        <v>120</v>
      </c>
      <c r="D296" s="92">
        <f>IF(C294&lt;=C293,E295,0)</f>
        <v>6518.0000000000009</v>
      </c>
      <c r="E296" s="92">
        <f>IFERROR(D296/C296,0)</f>
        <v>54.316666666666677</v>
      </c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">
      <c r="A297" s="75" t="s">
        <v>108</v>
      </c>
      <c r="B297" s="76"/>
      <c r="C297" s="76"/>
      <c r="D297" s="77"/>
      <c r="E297" s="78">
        <f>E291+E296</f>
        <v>851.86637078333342</v>
      </c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customHeight="1" x14ac:dyDescent="0.2">
      <c r="A298" s="91" t="s">
        <v>109</v>
      </c>
      <c r="B298" s="99" t="s">
        <v>63</v>
      </c>
      <c r="C298" s="90">
        <v>1.1000000000000001</v>
      </c>
      <c r="D298" s="92">
        <f>E297</f>
        <v>851.86637078333342</v>
      </c>
      <c r="E298" s="78">
        <f>C298*D298</f>
        <v>937.05300786166686</v>
      </c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customHeight="1" x14ac:dyDescent="0.2">
      <c r="A299" s="137"/>
      <c r="B299" s="137"/>
      <c r="C299" s="137"/>
      <c r="D299" s="82" t="s">
        <v>35</v>
      </c>
      <c r="E299" s="117">
        <f>$B$52</f>
        <v>1</v>
      </c>
      <c r="F299" s="84">
        <f>E298*E299</f>
        <v>937.05300786166686</v>
      </c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customHeight="1" x14ac:dyDescent="0.2">
      <c r="A300" s="1"/>
      <c r="B300" s="1"/>
      <c r="C300" s="1"/>
      <c r="D300" s="3"/>
      <c r="E300" s="3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 x14ac:dyDescent="0.2">
      <c r="A301" s="152" t="s">
        <v>168</v>
      </c>
      <c r="B301" s="1"/>
      <c r="C301" s="1"/>
      <c r="D301" s="3"/>
      <c r="E301" s="3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 x14ac:dyDescent="0.2">
      <c r="A302" s="63" t="s">
        <v>17</v>
      </c>
      <c r="B302" s="64" t="s">
        <v>18</v>
      </c>
      <c r="C302" s="64" t="s">
        <v>11</v>
      </c>
      <c r="D302" s="65" t="s">
        <v>19</v>
      </c>
      <c r="E302" s="65" t="s">
        <v>20</v>
      </c>
      <c r="F302" s="66" t="s">
        <v>169</v>
      </c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 x14ac:dyDescent="0.2">
      <c r="A303" s="67" t="s">
        <v>112</v>
      </c>
      <c r="B303" s="68" t="s">
        <v>63</v>
      </c>
      <c r="C303" s="68">
        <v>1</v>
      </c>
      <c r="D303" s="70">
        <f>D287</f>
        <v>146833.32999999999</v>
      </c>
      <c r="E303" s="70">
        <f>C303*D303</f>
        <v>146833.32999999999</v>
      </c>
      <c r="F303" s="13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">
      <c r="A304" s="71" t="s">
        <v>113</v>
      </c>
      <c r="B304" s="72" t="s">
        <v>5</v>
      </c>
      <c r="C304" s="90">
        <f>C227</f>
        <v>15</v>
      </c>
      <c r="D304" s="74"/>
      <c r="E304" s="74"/>
      <c r="F304" s="135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 x14ac:dyDescent="0.2">
      <c r="A305" s="71" t="s">
        <v>114</v>
      </c>
      <c r="B305" s="72" t="s">
        <v>28</v>
      </c>
      <c r="C305" s="74">
        <f>IFERROR(IF(C289&lt;=C288,E287-(C290/(100*C288)*C289)*E287,E287-E290),0)</f>
        <v>89409.751303600002</v>
      </c>
      <c r="D305" s="74"/>
      <c r="E305" s="74"/>
      <c r="F305" s="135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 x14ac:dyDescent="0.2">
      <c r="A306" s="71" t="s">
        <v>115</v>
      </c>
      <c r="B306" s="72" t="s">
        <v>28</v>
      </c>
      <c r="C306" s="74">
        <f>IFERROR(IF(C289&gt;=C288,C305,((((C305)-(E287-E290))*(((C288-C289)+1)/(2*(C288-C289))))+(E287-E290))),0)</f>
        <v>75053.856629499991</v>
      </c>
      <c r="D306" s="74"/>
      <c r="E306" s="74"/>
      <c r="F306" s="135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 x14ac:dyDescent="0.2">
      <c r="A307" s="91" t="s">
        <v>116</v>
      </c>
      <c r="B307" s="99" t="s">
        <v>28</v>
      </c>
      <c r="C307" s="99"/>
      <c r="D307" s="92">
        <f>C304*C306/12/100</f>
        <v>938.17320786874984</v>
      </c>
      <c r="E307" s="92">
        <f>D307</f>
        <v>938.17320786874984</v>
      </c>
      <c r="F307" s="135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2">
      <c r="A308" s="71" t="s">
        <v>117</v>
      </c>
      <c r="B308" s="72" t="s">
        <v>63</v>
      </c>
      <c r="C308" s="72">
        <f t="shared" ref="C308:D308" si="28">C292</f>
        <v>1</v>
      </c>
      <c r="D308" s="74">
        <f t="shared" si="28"/>
        <v>10000</v>
      </c>
      <c r="E308" s="74">
        <f>C308*D308</f>
        <v>10000</v>
      </c>
      <c r="F308" s="135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 x14ac:dyDescent="0.2">
      <c r="A309" s="71" t="s">
        <v>113</v>
      </c>
      <c r="B309" s="72" t="s">
        <v>5</v>
      </c>
      <c r="C309" s="72">
        <f>C304</f>
        <v>15</v>
      </c>
      <c r="D309" s="74"/>
      <c r="E309" s="74"/>
      <c r="F309" s="135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 x14ac:dyDescent="0.2">
      <c r="A310" s="71" t="s">
        <v>118</v>
      </c>
      <c r="B310" s="72" t="s">
        <v>28</v>
      </c>
      <c r="C310" s="74">
        <f>IFERROR(IF(C294&lt;=C293,E292-(C295/(100*C293)*C294)*E292,E292-E295),0)</f>
        <v>6089.2000000000007</v>
      </c>
      <c r="D310" s="74"/>
      <c r="E310" s="74"/>
      <c r="F310" s="135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 x14ac:dyDescent="0.2">
      <c r="A311" s="71" t="s">
        <v>119</v>
      </c>
      <c r="B311" s="72" t="s">
        <v>28</v>
      </c>
      <c r="C311" s="74">
        <f>IFERROR(IF(C294&gt;=C293,C310,((((C310)-(E292-E295))*(((C293-C294)+1)/(2*(C293-C294))))+(E292-E295))),0)</f>
        <v>5111.5</v>
      </c>
      <c r="D311" s="74"/>
      <c r="E311" s="74"/>
      <c r="F311" s="135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 x14ac:dyDescent="0.2">
      <c r="A312" s="91" t="s">
        <v>120</v>
      </c>
      <c r="B312" s="99" t="s">
        <v>28</v>
      </c>
      <c r="C312" s="99"/>
      <c r="D312" s="92">
        <f>C309*C311/12/100</f>
        <v>63.893749999999997</v>
      </c>
      <c r="E312" s="92">
        <f>D312</f>
        <v>63.893749999999997</v>
      </c>
      <c r="F312" s="135"/>
      <c r="G312" s="153"/>
      <c r="H312" s="140"/>
      <c r="I312" s="140"/>
      <c r="J312" s="140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 x14ac:dyDescent="0.2">
      <c r="A313" s="75" t="s">
        <v>108</v>
      </c>
      <c r="B313" s="76"/>
      <c r="C313" s="76"/>
      <c r="D313" s="77"/>
      <c r="E313" s="78">
        <f>E307+E312</f>
        <v>1002.0669578687498</v>
      </c>
      <c r="F313" s="135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 x14ac:dyDescent="0.2">
      <c r="A314" s="91" t="s">
        <v>109</v>
      </c>
      <c r="B314" s="99" t="s">
        <v>63</v>
      </c>
      <c r="C314" s="72">
        <f>C298</f>
        <v>1.1000000000000001</v>
      </c>
      <c r="D314" s="92">
        <f>E313</f>
        <v>1002.0669578687498</v>
      </c>
      <c r="E314" s="78">
        <f>C314*D314</f>
        <v>1102.2736536556249</v>
      </c>
      <c r="F314" s="135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 x14ac:dyDescent="0.2">
      <c r="A315" s="1"/>
      <c r="B315" s="1"/>
      <c r="C315" s="139"/>
      <c r="D315" s="82" t="s">
        <v>35</v>
      </c>
      <c r="E315" s="117">
        <f>$B$52</f>
        <v>1</v>
      </c>
      <c r="F315" s="84">
        <f>E314*E315</f>
        <v>1102.2736536556249</v>
      </c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 x14ac:dyDescent="0.2">
      <c r="A316" s="1"/>
      <c r="B316" s="1"/>
      <c r="C316" s="1"/>
      <c r="D316" s="3"/>
      <c r="E316" s="3"/>
      <c r="F316" s="3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 x14ac:dyDescent="0.2">
      <c r="A317" s="18" t="s">
        <v>170</v>
      </c>
      <c r="B317" s="1"/>
      <c r="C317" s="1"/>
      <c r="D317" s="3"/>
      <c r="E317" s="3"/>
      <c r="F317" s="3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2">
      <c r="A318" s="63" t="s">
        <v>17</v>
      </c>
      <c r="B318" s="64" t="s">
        <v>18</v>
      </c>
      <c r="C318" s="64" t="s">
        <v>11</v>
      </c>
      <c r="D318" s="65" t="s">
        <v>19</v>
      </c>
      <c r="E318" s="65" t="s">
        <v>20</v>
      </c>
      <c r="F318" s="66" t="s">
        <v>171</v>
      </c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 x14ac:dyDescent="0.2">
      <c r="A319" s="67" t="s">
        <v>123</v>
      </c>
      <c r="B319" s="68" t="s">
        <v>63</v>
      </c>
      <c r="C319" s="70">
        <f>C298</f>
        <v>1.1000000000000001</v>
      </c>
      <c r="D319" s="70">
        <v>7866</v>
      </c>
      <c r="E319" s="70">
        <f t="shared" ref="E319:E321" si="29">C319*D319</f>
        <v>8652.6</v>
      </c>
      <c r="F319" s="3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 x14ac:dyDescent="0.2">
      <c r="A320" s="71" t="s">
        <v>124</v>
      </c>
      <c r="B320" s="72" t="s">
        <v>63</v>
      </c>
      <c r="C320" s="70">
        <f>C298</f>
        <v>1.1000000000000001</v>
      </c>
      <c r="D320" s="116">
        <v>100</v>
      </c>
      <c r="E320" s="74">
        <f t="shared" si="29"/>
        <v>110.00000000000001</v>
      </c>
      <c r="F320" s="3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 x14ac:dyDescent="0.2">
      <c r="A321" s="71" t="s">
        <v>125</v>
      </c>
      <c r="B321" s="72" t="s">
        <v>63</v>
      </c>
      <c r="C321" s="70">
        <f>C298</f>
        <v>1.1000000000000001</v>
      </c>
      <c r="D321" s="116">
        <v>1000</v>
      </c>
      <c r="E321" s="74">
        <f t="shared" si="29"/>
        <v>1100</v>
      </c>
      <c r="F321" s="77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 x14ac:dyDescent="0.2">
      <c r="A322" s="91" t="s">
        <v>126</v>
      </c>
      <c r="B322" s="99" t="s">
        <v>23</v>
      </c>
      <c r="C322" s="99">
        <v>12</v>
      </c>
      <c r="D322" s="92">
        <f>SUM(E319:E321)</f>
        <v>9862.6</v>
      </c>
      <c r="E322" s="92">
        <f>D322/C322</f>
        <v>821.88333333333333</v>
      </c>
      <c r="F322" s="3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 x14ac:dyDescent="0.2">
      <c r="A323" s="1"/>
      <c r="B323" s="1"/>
      <c r="C323" s="1"/>
      <c r="D323" s="82" t="s">
        <v>35</v>
      </c>
      <c r="E323" s="83">
        <f>$B$52</f>
        <v>1</v>
      </c>
      <c r="F323" s="84">
        <f>E322*E323</f>
        <v>821.88333333333333</v>
      </c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 x14ac:dyDescent="0.2">
      <c r="A324" s="1"/>
      <c r="B324" s="1"/>
      <c r="C324" s="1"/>
      <c r="D324" s="3"/>
      <c r="E324" s="3"/>
      <c r="F324" s="3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2">
      <c r="A325" s="18" t="s">
        <v>172</v>
      </c>
      <c r="B325" s="141"/>
      <c r="C325" s="1"/>
      <c r="D325" s="3"/>
      <c r="E325" s="3"/>
      <c r="F325" s="3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 x14ac:dyDescent="0.2">
      <c r="A326" s="1"/>
      <c r="B326" s="141"/>
      <c r="C326" s="1"/>
      <c r="D326" s="3"/>
      <c r="E326" s="3"/>
      <c r="F326" s="3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 x14ac:dyDescent="0.2">
      <c r="A327" s="91" t="s">
        <v>128</v>
      </c>
      <c r="B327" s="142">
        <v>2400</v>
      </c>
      <c r="C327" s="1"/>
      <c r="D327" s="3"/>
      <c r="E327" s="3"/>
      <c r="F327" s="3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 x14ac:dyDescent="0.2">
      <c r="A328" s="1"/>
      <c r="B328" s="141"/>
      <c r="C328" s="1"/>
      <c r="D328" s="3"/>
      <c r="E328" s="3"/>
      <c r="F328" s="3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 x14ac:dyDescent="0.2">
      <c r="A329" s="63" t="s">
        <v>17</v>
      </c>
      <c r="B329" s="64" t="s">
        <v>18</v>
      </c>
      <c r="C329" s="64" t="s">
        <v>129</v>
      </c>
      <c r="D329" s="65" t="s">
        <v>19</v>
      </c>
      <c r="E329" s="65" t="s">
        <v>20</v>
      </c>
      <c r="F329" s="66" t="s">
        <v>173</v>
      </c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 x14ac:dyDescent="0.2">
      <c r="A330" s="67" t="s">
        <v>174</v>
      </c>
      <c r="B330" s="68" t="s">
        <v>132</v>
      </c>
      <c r="C330" s="154">
        <v>12</v>
      </c>
      <c r="D330" s="155">
        <v>6.09</v>
      </c>
      <c r="E330" s="70"/>
      <c r="F330" s="3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 x14ac:dyDescent="0.2">
      <c r="A331" s="71" t="s">
        <v>175</v>
      </c>
      <c r="B331" s="72" t="s">
        <v>134</v>
      </c>
      <c r="C331" s="119">
        <f>B327</f>
        <v>2400</v>
      </c>
      <c r="D331" s="156">
        <f>IFERROR(+D330/C330,"-")</f>
        <v>0.50749999999999995</v>
      </c>
      <c r="E331" s="74">
        <f>IFERROR(C331*D331,"-")</f>
        <v>1217.9999999999998</v>
      </c>
      <c r="F331" s="3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 x14ac:dyDescent="0.2">
      <c r="A332" s="71" t="s">
        <v>137</v>
      </c>
      <c r="B332" s="72" t="s">
        <v>138</v>
      </c>
      <c r="C332" s="146">
        <v>5</v>
      </c>
      <c r="D332" s="116">
        <v>20</v>
      </c>
      <c r="E332" s="74"/>
      <c r="F332" s="3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 x14ac:dyDescent="0.2">
      <c r="A333" s="71" t="s">
        <v>139</v>
      </c>
      <c r="B333" s="72" t="s">
        <v>134</v>
      </c>
      <c r="C333" s="119">
        <f>C331</f>
        <v>2400</v>
      </c>
      <c r="D333" s="145">
        <f>+C332*D332/1000</f>
        <v>0.1</v>
      </c>
      <c r="E333" s="74">
        <f>C333*D333</f>
        <v>240</v>
      </c>
      <c r="F333" s="3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 x14ac:dyDescent="0.2">
      <c r="A334" s="71" t="s">
        <v>140</v>
      </c>
      <c r="B334" s="72" t="s">
        <v>138</v>
      </c>
      <c r="C334" s="146">
        <v>0</v>
      </c>
      <c r="D334" s="116">
        <v>23</v>
      </c>
      <c r="E334" s="74"/>
      <c r="F334" s="3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customHeight="1" x14ac:dyDescent="0.2">
      <c r="A335" s="71" t="s">
        <v>141</v>
      </c>
      <c r="B335" s="72" t="s">
        <v>134</v>
      </c>
      <c r="C335" s="119">
        <f>C331</f>
        <v>2400</v>
      </c>
      <c r="D335" s="145">
        <f>+C334*D334/1000</f>
        <v>0</v>
      </c>
      <c r="E335" s="74">
        <f>C335*D335</f>
        <v>0</v>
      </c>
      <c r="F335" s="3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 x14ac:dyDescent="0.2">
      <c r="A336" s="71" t="s">
        <v>142</v>
      </c>
      <c r="B336" s="72" t="s">
        <v>138</v>
      </c>
      <c r="C336" s="146">
        <v>1</v>
      </c>
      <c r="D336" s="116">
        <v>25</v>
      </c>
      <c r="E336" s="74"/>
      <c r="F336" s="3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 x14ac:dyDescent="0.2">
      <c r="A337" s="71" t="s">
        <v>143</v>
      </c>
      <c r="B337" s="72" t="s">
        <v>134</v>
      </c>
      <c r="C337" s="119">
        <f>C331</f>
        <v>2400</v>
      </c>
      <c r="D337" s="145">
        <f>+C336*D336/1000</f>
        <v>2.5000000000000001E-2</v>
      </c>
      <c r="E337" s="74">
        <f>C337*D337</f>
        <v>60</v>
      </c>
      <c r="F337" s="3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customHeight="1" x14ac:dyDescent="0.2">
      <c r="A338" s="71" t="s">
        <v>144</v>
      </c>
      <c r="B338" s="72" t="s">
        <v>145</v>
      </c>
      <c r="C338" s="146">
        <v>0</v>
      </c>
      <c r="D338" s="116">
        <v>27</v>
      </c>
      <c r="E338" s="74"/>
      <c r="F338" s="3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customHeight="1" x14ac:dyDescent="0.2">
      <c r="A339" s="71" t="s">
        <v>176</v>
      </c>
      <c r="B339" s="72" t="s">
        <v>134</v>
      </c>
      <c r="C339" s="119">
        <f>C331</f>
        <v>2400</v>
      </c>
      <c r="D339" s="145">
        <f>+C338*D338/1000</f>
        <v>0</v>
      </c>
      <c r="E339" s="74">
        <f>C339*D339</f>
        <v>0</v>
      </c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customHeight="1" x14ac:dyDescent="0.2">
      <c r="A340" s="91" t="s">
        <v>146</v>
      </c>
      <c r="B340" s="99" t="s">
        <v>147</v>
      </c>
      <c r="C340" s="100"/>
      <c r="D340" s="149">
        <f>IFERROR(D331+D333+D335+D337+D339,0)</f>
        <v>0.63249999999999995</v>
      </c>
      <c r="E340" s="74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customHeight="1" x14ac:dyDescent="0.2">
      <c r="A341" s="1"/>
      <c r="B341" s="1"/>
      <c r="C341" s="1"/>
      <c r="D341" s="3"/>
      <c r="E341" s="3"/>
      <c r="F341" s="84">
        <f>SUM(E330:E339)</f>
        <v>1517.9999999999998</v>
      </c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customHeight="1" x14ac:dyDescent="0.2">
      <c r="A342" s="1"/>
      <c r="B342" s="1"/>
      <c r="C342" s="1"/>
      <c r="D342" s="3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customHeight="1" x14ac:dyDescent="0.2">
      <c r="A343" s="18" t="s">
        <v>177</v>
      </c>
      <c r="B343" s="1"/>
      <c r="C343" s="1"/>
      <c r="D343" s="3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 x14ac:dyDescent="0.2">
      <c r="A344" s="63" t="s">
        <v>17</v>
      </c>
      <c r="B344" s="64" t="s">
        <v>18</v>
      </c>
      <c r="C344" s="64" t="s">
        <v>11</v>
      </c>
      <c r="D344" s="65" t="s">
        <v>19</v>
      </c>
      <c r="E344" s="65" t="s">
        <v>20</v>
      </c>
      <c r="F344" s="66" t="s">
        <v>178</v>
      </c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 x14ac:dyDescent="0.2">
      <c r="A345" s="67" t="s">
        <v>179</v>
      </c>
      <c r="B345" s="68" t="s">
        <v>147</v>
      </c>
      <c r="C345" s="119">
        <f>C331</f>
        <v>2400</v>
      </c>
      <c r="D345" s="69">
        <v>1.6778523000000001</v>
      </c>
      <c r="E345" s="70">
        <f>C345*D345</f>
        <v>4026.8455200000003</v>
      </c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 x14ac:dyDescent="0.2">
      <c r="A346" s="1"/>
      <c r="B346" s="1"/>
      <c r="C346" s="1"/>
      <c r="D346" s="3"/>
      <c r="E346" s="3"/>
      <c r="F346" s="84">
        <f>E345</f>
        <v>4026.8455200000003</v>
      </c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2">
      <c r="A347" s="1"/>
      <c r="B347" s="1"/>
      <c r="C347" s="1"/>
      <c r="D347" s="3"/>
      <c r="E347" s="3"/>
      <c r="F347" s="3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 x14ac:dyDescent="0.2">
      <c r="A348" s="18" t="s">
        <v>180</v>
      </c>
      <c r="B348" s="1"/>
      <c r="C348" s="1"/>
      <c r="D348" s="3"/>
      <c r="E348" s="3"/>
      <c r="F348" s="3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 x14ac:dyDescent="0.2">
      <c r="A349" s="63" t="s">
        <v>17</v>
      </c>
      <c r="B349" s="64" t="s">
        <v>18</v>
      </c>
      <c r="C349" s="64" t="s">
        <v>11</v>
      </c>
      <c r="D349" s="65" t="s">
        <v>19</v>
      </c>
      <c r="E349" s="65" t="s">
        <v>20</v>
      </c>
      <c r="F349" s="66" t="s">
        <v>181</v>
      </c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 x14ac:dyDescent="0.2">
      <c r="A350" s="67" t="s">
        <v>182</v>
      </c>
      <c r="B350" s="68" t="s">
        <v>63</v>
      </c>
      <c r="C350" s="150">
        <v>4</v>
      </c>
      <c r="D350" s="69">
        <v>1100</v>
      </c>
      <c r="E350" s="70">
        <f>C350*D350</f>
        <v>4400</v>
      </c>
      <c r="F350" s="3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 x14ac:dyDescent="0.2">
      <c r="A351" s="67" t="s">
        <v>154</v>
      </c>
      <c r="B351" s="68" t="s">
        <v>63</v>
      </c>
      <c r="C351" s="150">
        <v>0</v>
      </c>
      <c r="D351" s="70"/>
      <c r="E351" s="70"/>
      <c r="F351" s="3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 x14ac:dyDescent="0.2">
      <c r="A352" s="67" t="s">
        <v>155</v>
      </c>
      <c r="B352" s="68" t="s">
        <v>63</v>
      </c>
      <c r="C352" s="70">
        <f>C350*C351</f>
        <v>0</v>
      </c>
      <c r="D352" s="69">
        <v>0</v>
      </c>
      <c r="E352" s="70">
        <f>C352*D352</f>
        <v>0</v>
      </c>
      <c r="F352" s="3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 x14ac:dyDescent="0.2">
      <c r="A353" s="71" t="s">
        <v>183</v>
      </c>
      <c r="B353" s="72" t="s">
        <v>157</v>
      </c>
      <c r="C353" s="151">
        <v>50000</v>
      </c>
      <c r="D353" s="74">
        <f>E350+E352</f>
        <v>4400</v>
      </c>
      <c r="E353" s="74">
        <f>IFERROR(D353/C353,"-")</f>
        <v>8.7999999999999995E-2</v>
      </c>
      <c r="F353" s="3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 x14ac:dyDescent="0.2">
      <c r="A354" s="71" t="s">
        <v>158</v>
      </c>
      <c r="B354" s="72" t="s">
        <v>134</v>
      </c>
      <c r="C354" s="119">
        <f>B327</f>
        <v>2400</v>
      </c>
      <c r="D354" s="74">
        <f>E353</f>
        <v>8.7999999999999995E-2</v>
      </c>
      <c r="E354" s="74">
        <f>IFERROR(C354*D354,0)</f>
        <v>211.2</v>
      </c>
      <c r="F354" s="3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 x14ac:dyDescent="0.2">
      <c r="A355" s="1"/>
      <c r="B355" s="1"/>
      <c r="C355" s="1"/>
      <c r="D355" s="3"/>
      <c r="E355" s="3"/>
      <c r="F355" s="84">
        <f>E354</f>
        <v>211.2</v>
      </c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 x14ac:dyDescent="0.2">
      <c r="A356" s="1"/>
      <c r="B356" s="1"/>
      <c r="C356" s="1"/>
      <c r="D356" s="3"/>
      <c r="E356" s="3"/>
      <c r="F356" s="3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 x14ac:dyDescent="0.2">
      <c r="A357" s="120" t="s">
        <v>184</v>
      </c>
      <c r="B357" s="121"/>
      <c r="C357" s="121"/>
      <c r="D357" s="35"/>
      <c r="E357" s="122"/>
      <c r="F357" s="84">
        <f>+SUM(F208:F355)</f>
        <v>78713.842276863201</v>
      </c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 x14ac:dyDescent="0.2">
      <c r="A358" s="1"/>
      <c r="B358" s="1"/>
      <c r="C358" s="1"/>
      <c r="D358" s="3"/>
      <c r="E358" s="3"/>
      <c r="F358" s="3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 x14ac:dyDescent="0.2">
      <c r="A359" s="18" t="s">
        <v>185</v>
      </c>
      <c r="B359" s="18"/>
      <c r="C359" s="18"/>
      <c r="D359" s="17"/>
      <c r="E359" s="17"/>
      <c r="F359" s="77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customHeight="1" x14ac:dyDescent="0.2">
      <c r="A360" s="1"/>
      <c r="B360" s="1"/>
      <c r="C360" s="1"/>
      <c r="D360" s="3"/>
      <c r="E360" s="3"/>
      <c r="F360" s="3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customHeight="1" x14ac:dyDescent="0.2">
      <c r="A361" s="63" t="s">
        <v>17</v>
      </c>
      <c r="B361" s="64" t="s">
        <v>18</v>
      </c>
      <c r="C361" s="64" t="s">
        <v>11</v>
      </c>
      <c r="D361" s="65" t="s">
        <v>19</v>
      </c>
      <c r="E361" s="65" t="s">
        <v>20</v>
      </c>
      <c r="F361" s="66" t="s">
        <v>186</v>
      </c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customHeight="1" x14ac:dyDescent="0.2">
      <c r="A362" s="71" t="s">
        <v>187</v>
      </c>
      <c r="B362" s="72" t="s">
        <v>63</v>
      </c>
      <c r="C362" s="128">
        <v>0.5</v>
      </c>
      <c r="D362" s="69">
        <v>52.09</v>
      </c>
      <c r="E362" s="74">
        <f t="shared" ref="E362:E366" si="30">C362*D362</f>
        <v>26.045000000000002</v>
      </c>
      <c r="F362" s="135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customHeight="1" x14ac:dyDescent="0.2">
      <c r="A363" s="71" t="s">
        <v>188</v>
      </c>
      <c r="B363" s="72" t="s">
        <v>63</v>
      </c>
      <c r="C363" s="128">
        <v>0.16666666666666666</v>
      </c>
      <c r="D363" s="69">
        <v>47.99</v>
      </c>
      <c r="E363" s="74">
        <f t="shared" si="30"/>
        <v>7.9983333333333331</v>
      </c>
      <c r="F363" s="135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customHeight="1" x14ac:dyDescent="0.2">
      <c r="A364" s="71" t="s">
        <v>189</v>
      </c>
      <c r="B364" s="72" t="s">
        <v>63</v>
      </c>
      <c r="C364" s="128">
        <v>0.16666666666666666</v>
      </c>
      <c r="D364" s="69">
        <v>49.36</v>
      </c>
      <c r="E364" s="74">
        <f t="shared" si="30"/>
        <v>8.2266666666666666</v>
      </c>
      <c r="F364" s="135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customHeight="1" x14ac:dyDescent="0.2">
      <c r="A365" s="71" t="s">
        <v>190</v>
      </c>
      <c r="B365" s="72" t="s">
        <v>63</v>
      </c>
      <c r="C365" s="128">
        <v>0.33333333333333331</v>
      </c>
      <c r="D365" s="69">
        <v>14.99</v>
      </c>
      <c r="E365" s="74">
        <f t="shared" si="30"/>
        <v>4.9966666666666661</v>
      </c>
      <c r="F365" s="135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customHeight="1" x14ac:dyDescent="0.2">
      <c r="A366" s="71" t="s">
        <v>191</v>
      </c>
      <c r="B366" s="72" t="s">
        <v>192</v>
      </c>
      <c r="C366" s="128">
        <v>8.3333333333333329E-2</v>
      </c>
      <c r="D366" s="69">
        <v>300</v>
      </c>
      <c r="E366" s="74">
        <f t="shared" si="30"/>
        <v>25</v>
      </c>
      <c r="F366" s="135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customHeight="1" x14ac:dyDescent="0.2">
      <c r="A367" s="18"/>
      <c r="B367" s="18"/>
      <c r="C367" s="18"/>
      <c r="D367" s="18"/>
      <c r="E367" s="17"/>
      <c r="F367" s="84">
        <f>SUM(E362:E366)</f>
        <v>72.266666666666666</v>
      </c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customHeight="1" x14ac:dyDescent="0.2">
      <c r="A368" s="1"/>
      <c r="B368" s="1"/>
      <c r="C368" s="1"/>
      <c r="D368" s="3"/>
      <c r="E368" s="3"/>
      <c r="F368" s="3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customHeight="1" x14ac:dyDescent="0.2">
      <c r="A369" s="120" t="s">
        <v>193</v>
      </c>
      <c r="B369" s="121"/>
      <c r="C369" s="121"/>
      <c r="D369" s="35"/>
      <c r="E369" s="122"/>
      <c r="F369" s="84">
        <f>+F367</f>
        <v>72.266666666666666</v>
      </c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customHeight="1" x14ac:dyDescent="0.2">
      <c r="A370" s="1"/>
      <c r="B370" s="1"/>
      <c r="C370" s="1"/>
      <c r="D370" s="3"/>
      <c r="E370" s="3"/>
      <c r="F370" s="3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customHeight="1" x14ac:dyDescent="0.2">
      <c r="A371" s="18" t="s">
        <v>194</v>
      </c>
      <c r="B371" s="18"/>
      <c r="C371" s="18"/>
      <c r="D371" s="17"/>
      <c r="E371" s="17"/>
      <c r="F371" s="77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customHeight="1" x14ac:dyDescent="0.2">
      <c r="A372" s="1"/>
      <c r="B372" s="1"/>
      <c r="C372" s="1"/>
      <c r="D372" s="3"/>
      <c r="E372" s="3"/>
      <c r="F372" s="3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customHeight="1" x14ac:dyDescent="0.2">
      <c r="A373" s="63" t="s">
        <v>17</v>
      </c>
      <c r="B373" s="64" t="s">
        <v>18</v>
      </c>
      <c r="C373" s="64" t="s">
        <v>11</v>
      </c>
      <c r="D373" s="65" t="s">
        <v>19</v>
      </c>
      <c r="E373" s="65" t="s">
        <v>20</v>
      </c>
      <c r="F373" s="66" t="s">
        <v>195</v>
      </c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2">
      <c r="A374" s="71" t="s">
        <v>196</v>
      </c>
      <c r="B374" s="72" t="s">
        <v>192</v>
      </c>
      <c r="C374" s="95">
        <v>4</v>
      </c>
      <c r="D374" s="116">
        <v>180</v>
      </c>
      <c r="E374" s="74">
        <f>+D374*C374</f>
        <v>720</v>
      </c>
      <c r="F374" s="135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customHeight="1" x14ac:dyDescent="0.2">
      <c r="A375" s="71" t="s">
        <v>197</v>
      </c>
      <c r="B375" s="72" t="s">
        <v>23</v>
      </c>
      <c r="C375" s="72">
        <v>60</v>
      </c>
      <c r="D375" s="74">
        <f>SUM(E374)</f>
        <v>720</v>
      </c>
      <c r="E375" s="74">
        <f>+D375/C375</f>
        <v>12</v>
      </c>
      <c r="F375" s="135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customHeight="1" x14ac:dyDescent="0.2">
      <c r="A376" s="71" t="s">
        <v>198</v>
      </c>
      <c r="B376" s="72" t="s">
        <v>63</v>
      </c>
      <c r="C376" s="95">
        <f>+C374</f>
        <v>4</v>
      </c>
      <c r="D376" s="116">
        <v>80</v>
      </c>
      <c r="E376" s="74">
        <f>C376*D376</f>
        <v>320</v>
      </c>
      <c r="F376" s="135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customHeight="1" x14ac:dyDescent="0.2">
      <c r="A377" s="71" t="s">
        <v>199</v>
      </c>
      <c r="B377" s="72" t="s">
        <v>23</v>
      </c>
      <c r="C377" s="72">
        <v>1</v>
      </c>
      <c r="D377" s="74">
        <f>+E376</f>
        <v>320</v>
      </c>
      <c r="E377" s="74">
        <f>+D377/C377</f>
        <v>320</v>
      </c>
      <c r="F377" s="135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customHeight="1" x14ac:dyDescent="0.2">
      <c r="A378" s="1"/>
      <c r="B378" s="1"/>
      <c r="C378" s="1"/>
      <c r="D378" s="82" t="s">
        <v>35</v>
      </c>
      <c r="E378" s="117">
        <f>$B$52</f>
        <v>1</v>
      </c>
      <c r="F378" s="84">
        <f>(E375+E377)*E378</f>
        <v>332</v>
      </c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customHeight="1" x14ac:dyDescent="0.2">
      <c r="A379" s="1"/>
      <c r="B379" s="1"/>
      <c r="C379" s="1"/>
      <c r="D379" s="3"/>
      <c r="E379" s="3"/>
      <c r="F379" s="3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customHeight="1" x14ac:dyDescent="0.2">
      <c r="A380" s="120" t="s">
        <v>200</v>
      </c>
      <c r="B380" s="121"/>
      <c r="C380" s="121"/>
      <c r="D380" s="35"/>
      <c r="E380" s="122"/>
      <c r="F380" s="84">
        <f>+F378</f>
        <v>332</v>
      </c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customHeight="1" x14ac:dyDescent="0.2">
      <c r="A381" s="1"/>
      <c r="B381" s="1"/>
      <c r="C381" s="1"/>
      <c r="D381" s="3"/>
      <c r="E381" s="3"/>
      <c r="F381" s="3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customHeight="1" x14ac:dyDescent="0.2">
      <c r="A382" s="120" t="s">
        <v>201</v>
      </c>
      <c r="B382" s="129"/>
      <c r="C382" s="129"/>
      <c r="D382" s="130"/>
      <c r="E382" s="131"/>
      <c r="F382" s="111">
        <f>+F166+F200+F357+F369+F380</f>
        <v>180696.06860003038</v>
      </c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customHeight="1" x14ac:dyDescent="0.2">
      <c r="A383" s="1"/>
      <c r="B383" s="1"/>
      <c r="C383" s="1"/>
      <c r="D383" s="3"/>
      <c r="E383" s="3"/>
      <c r="F383" s="3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customHeight="1" x14ac:dyDescent="0.2">
      <c r="A384" s="18" t="s">
        <v>202</v>
      </c>
      <c r="B384" s="1"/>
      <c r="C384" s="1"/>
      <c r="D384" s="3"/>
      <c r="E384" s="3"/>
      <c r="F384" s="3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customHeight="1" x14ac:dyDescent="0.2">
      <c r="A385" s="1"/>
      <c r="B385" s="1"/>
      <c r="C385" s="1"/>
      <c r="D385" s="3"/>
      <c r="E385" s="3"/>
      <c r="F385" s="3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customHeight="1" x14ac:dyDescent="0.2">
      <c r="A386" s="63" t="s">
        <v>17</v>
      </c>
      <c r="B386" s="64" t="s">
        <v>18</v>
      </c>
      <c r="C386" s="64" t="s">
        <v>11</v>
      </c>
      <c r="D386" s="65" t="s">
        <v>19</v>
      </c>
      <c r="E386" s="65" t="s">
        <v>20</v>
      </c>
      <c r="F386" s="66" t="s">
        <v>203</v>
      </c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customHeight="1" x14ac:dyDescent="0.2">
      <c r="A387" s="67" t="s">
        <v>204</v>
      </c>
      <c r="B387" s="68" t="s">
        <v>5</v>
      </c>
      <c r="C387" s="79">
        <f>'4.BDI'!C13*100</f>
        <v>31.06</v>
      </c>
      <c r="D387" s="70">
        <f>+F382</f>
        <v>180696.06860003038</v>
      </c>
      <c r="E387" s="70">
        <f>C387*D387/100</f>
        <v>56124.198907169441</v>
      </c>
      <c r="F387" s="3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customHeight="1" x14ac:dyDescent="0.2">
      <c r="A388" s="1"/>
      <c r="B388" s="1"/>
      <c r="C388" s="1"/>
      <c r="D388" s="3"/>
      <c r="E388" s="3"/>
      <c r="F388" s="84">
        <f>+E387</f>
        <v>56124.198907169441</v>
      </c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customHeight="1" x14ac:dyDescent="0.2">
      <c r="A389" s="1"/>
      <c r="B389" s="1"/>
      <c r="C389" s="1"/>
      <c r="D389" s="3"/>
      <c r="E389" s="3"/>
      <c r="F389" s="3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customHeight="1" x14ac:dyDescent="0.2">
      <c r="A390" s="120" t="s">
        <v>205</v>
      </c>
      <c r="B390" s="129"/>
      <c r="C390" s="129"/>
      <c r="D390" s="130"/>
      <c r="E390" s="131"/>
      <c r="F390" s="111">
        <f>F388</f>
        <v>56124.198907169441</v>
      </c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customHeight="1" x14ac:dyDescent="0.2">
      <c r="A391" s="18"/>
      <c r="B391" s="18"/>
      <c r="C391" s="18"/>
      <c r="D391" s="17"/>
      <c r="E391" s="17"/>
      <c r="F391" s="77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customHeight="1" x14ac:dyDescent="0.2">
      <c r="A392" s="1"/>
      <c r="B392" s="1"/>
      <c r="C392" s="1"/>
      <c r="D392" s="3"/>
      <c r="E392" s="3"/>
      <c r="F392" s="3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customHeight="1" x14ac:dyDescent="0.2">
      <c r="A393" s="120" t="s">
        <v>206</v>
      </c>
      <c r="B393" s="129"/>
      <c r="C393" s="129"/>
      <c r="D393" s="130"/>
      <c r="E393" s="131"/>
      <c r="F393" s="111">
        <f>F382+F390</f>
        <v>236820.26750719984</v>
      </c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customHeight="1" x14ac:dyDescent="0.2">
      <c r="A394" s="18"/>
      <c r="B394" s="18"/>
      <c r="C394" s="18"/>
      <c r="D394" s="17"/>
      <c r="E394" s="17"/>
      <c r="F394" s="17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 x14ac:dyDescent="0.2">
      <c r="A395" s="1"/>
      <c r="B395" s="1"/>
      <c r="C395" s="1"/>
      <c r="D395" s="3"/>
      <c r="E395" s="3"/>
      <c r="F395" s="3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2">
      <c r="A396" s="270" t="s">
        <v>207</v>
      </c>
      <c r="B396" s="271"/>
      <c r="C396" s="271"/>
      <c r="D396" s="157">
        <v>745</v>
      </c>
      <c r="E396" s="158" t="s">
        <v>208</v>
      </c>
      <c r="F396" s="3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customHeight="1" x14ac:dyDescent="0.2">
      <c r="A397" s="1"/>
      <c r="B397" s="1"/>
      <c r="C397" s="1"/>
      <c r="D397" s="3"/>
      <c r="E397" s="3"/>
      <c r="F397" s="3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customHeight="1" x14ac:dyDescent="0.2">
      <c r="A398" s="120" t="s">
        <v>209</v>
      </c>
      <c r="B398" s="121"/>
      <c r="C398" s="121"/>
      <c r="D398" s="35"/>
      <c r="E398" s="159" t="s">
        <v>210</v>
      </c>
      <c r="F398" s="160">
        <f>F393/D396</f>
        <v>317.87955370093937</v>
      </c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3"/>
      <c r="E399" s="3"/>
      <c r="F399" s="3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3"/>
      <c r="E400" s="3"/>
      <c r="F400" s="3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3"/>
      <c r="E401" s="3"/>
      <c r="F401" s="3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3"/>
      <c r="E402" s="3"/>
      <c r="F402" s="3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3"/>
      <c r="E403" s="3"/>
      <c r="F403" s="3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3"/>
      <c r="E404" s="3"/>
      <c r="F404" s="3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3"/>
      <c r="E405" s="3"/>
      <c r="F405" s="3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3"/>
      <c r="E406" s="3"/>
      <c r="F406" s="3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3"/>
      <c r="E407" s="3"/>
      <c r="F407" s="3"/>
      <c r="G407" s="16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3"/>
      <c r="E408" s="3"/>
      <c r="F408" s="3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3"/>
      <c r="E409" s="3"/>
      <c r="F409" s="3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3"/>
      <c r="E410" s="3"/>
      <c r="F410" s="3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3"/>
      <c r="E411" s="3"/>
      <c r="F411" s="3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3"/>
      <c r="E412" s="3"/>
      <c r="F412" s="3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3"/>
      <c r="E413" s="3"/>
      <c r="F413" s="3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3"/>
      <c r="E414" s="3"/>
      <c r="F414" s="3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3"/>
      <c r="E415" s="3"/>
      <c r="F415" s="3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3"/>
      <c r="E416" s="3"/>
      <c r="F416" s="3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3"/>
      <c r="E417" s="3"/>
      <c r="F417" s="3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3"/>
      <c r="E418" s="3"/>
      <c r="F418" s="3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3"/>
      <c r="E419" s="3"/>
      <c r="F419" s="3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3"/>
      <c r="E420" s="3"/>
      <c r="F420" s="3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3"/>
      <c r="E421" s="3"/>
      <c r="F421" s="3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3"/>
      <c r="E422" s="3"/>
      <c r="F422" s="3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3"/>
      <c r="E423" s="3"/>
      <c r="F423" s="3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3"/>
      <c r="E424" s="3"/>
      <c r="F424" s="3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3"/>
      <c r="E425" s="3"/>
      <c r="F425" s="3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3"/>
      <c r="E426" s="3"/>
      <c r="F426" s="3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3"/>
      <c r="E427" s="3"/>
      <c r="F427" s="3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3"/>
      <c r="E428" s="3"/>
      <c r="F428" s="3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3"/>
      <c r="E429" s="3"/>
      <c r="F429" s="3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3"/>
      <c r="E430" s="3"/>
      <c r="F430" s="3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3"/>
      <c r="E431" s="3"/>
      <c r="F431" s="3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3"/>
      <c r="E432" s="3"/>
      <c r="F432" s="3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3"/>
      <c r="E433" s="3"/>
      <c r="F433" s="3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3"/>
      <c r="E434" s="3"/>
      <c r="F434" s="3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3"/>
      <c r="E435" s="3"/>
      <c r="F435" s="3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3"/>
      <c r="E436" s="3"/>
      <c r="F436" s="3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3"/>
      <c r="E437" s="3"/>
      <c r="F437" s="3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3"/>
      <c r="E438" s="3"/>
      <c r="F438" s="3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3"/>
      <c r="E439" s="3"/>
      <c r="F439" s="3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3"/>
      <c r="E440" s="3"/>
      <c r="F440" s="3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3"/>
      <c r="E441" s="3"/>
      <c r="F441" s="3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3"/>
      <c r="E442" s="3"/>
      <c r="F442" s="3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3"/>
      <c r="E443" s="3"/>
      <c r="F443" s="3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3"/>
      <c r="E444" s="3"/>
      <c r="F444" s="3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3"/>
      <c r="E445" s="3"/>
      <c r="F445" s="3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3"/>
      <c r="E446" s="3"/>
      <c r="F446" s="3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3"/>
      <c r="E447" s="3"/>
      <c r="F447" s="3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3"/>
      <c r="E448" s="3"/>
      <c r="F448" s="3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3"/>
      <c r="E449" s="3"/>
      <c r="F449" s="3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3"/>
      <c r="E450" s="3"/>
      <c r="F450" s="3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3"/>
      <c r="E451" s="3"/>
      <c r="F451" s="3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3"/>
      <c r="E452" s="3"/>
      <c r="F452" s="3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3"/>
      <c r="E453" s="3"/>
      <c r="F453" s="3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3"/>
      <c r="E454" s="3"/>
      <c r="F454" s="3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3"/>
      <c r="E455" s="3"/>
      <c r="F455" s="3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3"/>
      <c r="E456" s="3"/>
      <c r="F456" s="3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3"/>
      <c r="E457" s="3"/>
      <c r="F457" s="3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3"/>
      <c r="E458" s="3"/>
      <c r="F458" s="3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3"/>
      <c r="E459" s="3"/>
      <c r="F459" s="3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3"/>
      <c r="E460" s="3"/>
      <c r="F460" s="3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3"/>
      <c r="E461" s="3"/>
      <c r="F461" s="3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3"/>
      <c r="E462" s="3"/>
      <c r="F462" s="3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3"/>
      <c r="E463" s="3"/>
      <c r="F463" s="3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3"/>
      <c r="E464" s="3"/>
      <c r="F464" s="3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3"/>
      <c r="E465" s="3"/>
      <c r="F465" s="3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3"/>
      <c r="E466" s="3"/>
      <c r="F466" s="3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3"/>
      <c r="E467" s="3"/>
      <c r="F467" s="3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3"/>
      <c r="E468" s="3"/>
      <c r="F468" s="3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3"/>
      <c r="E469" s="3"/>
      <c r="F469" s="3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3"/>
      <c r="E470" s="3"/>
      <c r="F470" s="3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3"/>
      <c r="E471" s="3"/>
      <c r="F471" s="3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3"/>
      <c r="E472" s="3"/>
      <c r="F472" s="3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3"/>
      <c r="E473" s="3"/>
      <c r="F473" s="3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3"/>
      <c r="E474" s="3"/>
      <c r="F474" s="3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3"/>
      <c r="E475" s="3"/>
      <c r="F475" s="3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3"/>
      <c r="E476" s="3"/>
      <c r="F476" s="3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3"/>
      <c r="E477" s="3"/>
      <c r="F477" s="3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3"/>
      <c r="E478" s="3"/>
      <c r="F478" s="3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3"/>
      <c r="E479" s="3"/>
      <c r="F479" s="3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3"/>
      <c r="E480" s="3"/>
      <c r="F480" s="3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3"/>
      <c r="E481" s="3"/>
      <c r="F481" s="3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3"/>
      <c r="E482" s="3"/>
      <c r="F482" s="3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3"/>
      <c r="E483" s="3"/>
      <c r="F483" s="3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3"/>
      <c r="E484" s="3"/>
      <c r="F484" s="3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3"/>
      <c r="E485" s="3"/>
      <c r="F485" s="3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3"/>
      <c r="E486" s="3"/>
      <c r="F486" s="3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3"/>
      <c r="E487" s="3"/>
      <c r="F487" s="3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3"/>
      <c r="E488" s="3"/>
      <c r="F488" s="3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3"/>
      <c r="E489" s="3"/>
      <c r="F489" s="3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3"/>
      <c r="E490" s="3"/>
      <c r="F490" s="3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3"/>
      <c r="E491" s="3"/>
      <c r="F491" s="3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3"/>
      <c r="E492" s="3"/>
      <c r="F492" s="3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3"/>
      <c r="E493" s="3"/>
      <c r="F493" s="3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3"/>
      <c r="E494" s="3"/>
      <c r="F494" s="3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3"/>
      <c r="E495" s="3"/>
      <c r="F495" s="3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3"/>
      <c r="E496" s="3"/>
      <c r="F496" s="3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3"/>
      <c r="E497" s="3"/>
      <c r="F497" s="3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3"/>
      <c r="E498" s="3"/>
      <c r="F498" s="3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3"/>
      <c r="E499" s="3"/>
      <c r="F499" s="3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3"/>
      <c r="E500" s="3"/>
      <c r="F500" s="3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3"/>
      <c r="E501" s="3"/>
      <c r="F501" s="3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3"/>
      <c r="E502" s="3"/>
      <c r="F502" s="3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3"/>
      <c r="E503" s="3"/>
      <c r="F503" s="3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3"/>
      <c r="E504" s="3"/>
      <c r="F504" s="3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3"/>
      <c r="E505" s="3"/>
      <c r="F505" s="3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3"/>
      <c r="E506" s="3"/>
      <c r="F506" s="3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3"/>
      <c r="E507" s="3"/>
      <c r="F507" s="3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3"/>
      <c r="E508" s="3"/>
      <c r="F508" s="3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3"/>
      <c r="E509" s="3"/>
      <c r="F509" s="3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3"/>
      <c r="E510" s="3"/>
      <c r="F510" s="3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3"/>
      <c r="E511" s="3"/>
      <c r="F511" s="3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3"/>
      <c r="E512" s="3"/>
      <c r="F512" s="3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3"/>
      <c r="E513" s="3"/>
      <c r="F513" s="3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3"/>
      <c r="E514" s="3"/>
      <c r="F514" s="3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3"/>
      <c r="E515" s="3"/>
      <c r="F515" s="3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3"/>
      <c r="E516" s="3"/>
      <c r="F516" s="3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3"/>
      <c r="E517" s="3"/>
      <c r="F517" s="3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3"/>
      <c r="E518" s="3"/>
      <c r="F518" s="3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3"/>
      <c r="E519" s="3"/>
      <c r="F519" s="3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3"/>
      <c r="E520" s="3"/>
      <c r="F520" s="3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3"/>
      <c r="E521" s="3"/>
      <c r="F521" s="3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3"/>
      <c r="E522" s="3"/>
      <c r="F522" s="3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3"/>
      <c r="E523" s="3"/>
      <c r="F523" s="3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3"/>
      <c r="E524" s="3"/>
      <c r="F524" s="3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3"/>
      <c r="E525" s="3"/>
      <c r="F525" s="3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3"/>
      <c r="E526" s="3"/>
      <c r="F526" s="3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3"/>
      <c r="E527" s="3"/>
      <c r="F527" s="3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3"/>
      <c r="E528" s="3"/>
      <c r="F528" s="3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3"/>
      <c r="E529" s="3"/>
      <c r="F529" s="3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3"/>
      <c r="E530" s="3"/>
      <c r="F530" s="3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3"/>
      <c r="E531" s="3"/>
      <c r="F531" s="3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3"/>
      <c r="E532" s="3"/>
      <c r="F532" s="3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3"/>
      <c r="E533" s="3"/>
      <c r="F533" s="3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3"/>
      <c r="E534" s="3"/>
      <c r="F534" s="3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3"/>
      <c r="E535" s="3"/>
      <c r="F535" s="3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3"/>
      <c r="E536" s="3"/>
      <c r="F536" s="3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3"/>
      <c r="E537" s="3"/>
      <c r="F537" s="3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3"/>
      <c r="E538" s="3"/>
      <c r="F538" s="3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3"/>
      <c r="E539" s="3"/>
      <c r="F539" s="3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3"/>
      <c r="E540" s="3"/>
      <c r="F540" s="3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3"/>
      <c r="E541" s="3"/>
      <c r="F541" s="3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3"/>
      <c r="E542" s="3"/>
      <c r="F542" s="3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3"/>
      <c r="E543" s="3"/>
      <c r="F543" s="3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3"/>
      <c r="E544" s="3"/>
      <c r="F544" s="3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3"/>
      <c r="E545" s="3"/>
      <c r="F545" s="3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3"/>
      <c r="E546" s="3"/>
      <c r="F546" s="3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3"/>
      <c r="E547" s="3"/>
      <c r="F547" s="3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3"/>
      <c r="E548" s="3"/>
      <c r="F548" s="3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3"/>
      <c r="E549" s="3"/>
      <c r="F549" s="3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3"/>
      <c r="E550" s="3"/>
      <c r="F550" s="3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3"/>
      <c r="E551" s="3"/>
      <c r="F551" s="3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3"/>
      <c r="E552" s="3"/>
      <c r="F552" s="3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3"/>
      <c r="E553" s="3"/>
      <c r="F553" s="3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3"/>
      <c r="E554" s="3"/>
      <c r="F554" s="3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3"/>
      <c r="E555" s="3"/>
      <c r="F555" s="3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3"/>
      <c r="E556" s="3"/>
      <c r="F556" s="3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3"/>
      <c r="E557" s="3"/>
      <c r="F557" s="3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3"/>
      <c r="E558" s="3"/>
      <c r="F558" s="3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3"/>
      <c r="E559" s="3"/>
      <c r="F559" s="3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3"/>
      <c r="E560" s="3"/>
      <c r="F560" s="3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3"/>
      <c r="E561" s="3"/>
      <c r="F561" s="3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3"/>
      <c r="E562" s="3"/>
      <c r="F562" s="3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3"/>
      <c r="E563" s="3"/>
      <c r="F563" s="3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3"/>
      <c r="E564" s="3"/>
      <c r="F564" s="3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3"/>
      <c r="E565" s="3"/>
      <c r="F565" s="3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3"/>
      <c r="E566" s="3"/>
      <c r="F566" s="3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3"/>
      <c r="E567" s="3"/>
      <c r="F567" s="3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3"/>
      <c r="E568" s="3"/>
      <c r="F568" s="3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3"/>
      <c r="E569" s="3"/>
      <c r="F569" s="3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3"/>
      <c r="E570" s="3"/>
      <c r="F570" s="3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3"/>
      <c r="E571" s="3"/>
      <c r="F571" s="3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3"/>
      <c r="E572" s="3"/>
      <c r="F572" s="3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3"/>
      <c r="E573" s="3"/>
      <c r="F573" s="3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3"/>
      <c r="E574" s="3"/>
      <c r="F574" s="3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3"/>
      <c r="E575" s="3"/>
      <c r="F575" s="3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3"/>
      <c r="E576" s="3"/>
      <c r="F576" s="3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3"/>
      <c r="E577" s="3"/>
      <c r="F577" s="3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3"/>
      <c r="E578" s="3"/>
      <c r="F578" s="3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3"/>
      <c r="E579" s="3"/>
      <c r="F579" s="3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3"/>
      <c r="E580" s="3"/>
      <c r="F580" s="3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3"/>
      <c r="E581" s="3"/>
      <c r="F581" s="3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3"/>
      <c r="E582" s="3"/>
      <c r="F582" s="3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3"/>
      <c r="E583" s="3"/>
      <c r="F583" s="3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3"/>
      <c r="E584" s="3"/>
      <c r="F584" s="3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3"/>
      <c r="E585" s="3"/>
      <c r="F585" s="3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3"/>
      <c r="E586" s="3"/>
      <c r="F586" s="3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3"/>
      <c r="E587" s="3"/>
      <c r="F587" s="3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3"/>
      <c r="E588" s="3"/>
      <c r="F588" s="3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3"/>
      <c r="E589" s="3"/>
      <c r="F589" s="3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3"/>
      <c r="E590" s="3"/>
      <c r="F590" s="3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3"/>
      <c r="E591" s="3"/>
      <c r="F591" s="3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3"/>
      <c r="E592" s="3"/>
      <c r="F592" s="3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3"/>
      <c r="E593" s="3"/>
      <c r="F593" s="3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3"/>
      <c r="E594" s="3"/>
      <c r="F594" s="3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3"/>
      <c r="E595" s="3"/>
      <c r="F595" s="3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3"/>
      <c r="E596" s="3"/>
      <c r="F596" s="3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3"/>
      <c r="E597" s="3"/>
      <c r="F597" s="3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3"/>
      <c r="E598" s="3"/>
      <c r="F598" s="3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/>
    <row r="600" spans="1:26" ht="15.75" customHeight="1" x14ac:dyDescent="0.2"/>
    <row r="601" spans="1:26" ht="15.75" customHeight="1" x14ac:dyDescent="0.2"/>
    <row r="602" spans="1:26" ht="15.75" customHeight="1" x14ac:dyDescent="0.2"/>
    <row r="603" spans="1:26" ht="15.75" customHeight="1" x14ac:dyDescent="0.2"/>
    <row r="604" spans="1:26" ht="15.75" customHeight="1" x14ac:dyDescent="0.2"/>
    <row r="605" spans="1:26" ht="15.75" customHeight="1" x14ac:dyDescent="0.2"/>
    <row r="606" spans="1:26" ht="15.75" customHeight="1" x14ac:dyDescent="0.2"/>
    <row r="607" spans="1:26" ht="15.75" customHeight="1" x14ac:dyDescent="0.2"/>
    <row r="608" spans="1:26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</sheetData>
  <mergeCells count="11">
    <mergeCell ref="A137:E137"/>
    <mergeCell ref="A222:D222"/>
    <mergeCell ref="A239:D239"/>
    <mergeCell ref="A396:C396"/>
    <mergeCell ref="A2:F2"/>
    <mergeCell ref="A3:F3"/>
    <mergeCell ref="A5:F5"/>
    <mergeCell ref="A17:C17"/>
    <mergeCell ref="A39:E39"/>
    <mergeCell ref="A40:D40"/>
    <mergeCell ref="A48:D48"/>
  </mergeCells>
  <hyperlinks>
    <hyperlink ref="A20" location="Google_Sheet_Link_1183645163" display="3.1.1. Depreciação"/>
    <hyperlink ref="A21" location="Google_Sheet_Link_912072401" display="3.1.2. Remuneração do Capital"/>
    <hyperlink ref="A206" location="Google_Sheet_Link_1183645163" display="3.1.1. Depreciação"/>
    <hyperlink ref="A224" location="Google_Sheet_Link_912072401" display="3.1.2. Remuneração do Capital"/>
  </hyperlinks>
  <pageMargins left="0.9055118110236221" right="0.51181102362204722" top="0.74803149606299213" bottom="1.1811023622047243" header="0" footer="0"/>
  <pageSetup paperSize="9" fitToHeight="0" orientation="portrait"/>
  <headerFooter>
    <oddFooter>&amp;R&amp;P de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7"/>
  <sheetViews>
    <sheetView workbookViewId="0"/>
  </sheetViews>
  <sheetFormatPr defaultColWidth="12.5703125" defaultRowHeight="15" customHeight="1" x14ac:dyDescent="0.2"/>
  <cols>
    <col min="1" max="1" width="13.5703125" customWidth="1"/>
    <col min="2" max="2" width="39.5703125" customWidth="1"/>
    <col min="3" max="3" width="14.5703125" customWidth="1"/>
    <col min="4" max="4" width="37.28515625" customWidth="1"/>
    <col min="5" max="10" width="9.140625" customWidth="1"/>
    <col min="11" max="11" width="11" customWidth="1"/>
    <col min="12" max="23" width="9.140625" customWidth="1"/>
  </cols>
  <sheetData>
    <row r="1" spans="1:23" ht="15" customHeight="1" x14ac:dyDescent="0.2">
      <c r="A1" s="162" t="s">
        <v>211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</row>
    <row r="2" spans="1:23" ht="15" customHeight="1" x14ac:dyDescent="0.2">
      <c r="A2" s="164" t="s">
        <v>212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23" ht="15" customHeight="1" x14ac:dyDescent="0.2">
      <c r="A3" s="165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</row>
    <row r="4" spans="1:23" ht="15" customHeight="1" x14ac:dyDescent="0.2">
      <c r="A4" s="287" t="s">
        <v>213</v>
      </c>
      <c r="B4" s="288"/>
      <c r="C4" s="289"/>
      <c r="D4" s="166"/>
      <c r="E4" s="166"/>
      <c r="F4" s="166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23" ht="15" customHeight="1" x14ac:dyDescent="0.2">
      <c r="A5" s="167" t="s">
        <v>214</v>
      </c>
      <c r="B5" s="168" t="s">
        <v>215</v>
      </c>
      <c r="C5" s="169" t="s">
        <v>216</v>
      </c>
      <c r="D5" s="170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</row>
    <row r="6" spans="1:23" ht="15" customHeight="1" x14ac:dyDescent="0.2">
      <c r="A6" s="167" t="s">
        <v>217</v>
      </c>
      <c r="B6" s="168" t="s">
        <v>218</v>
      </c>
      <c r="C6" s="171">
        <v>0.2</v>
      </c>
      <c r="D6" s="170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</row>
    <row r="7" spans="1:23" ht="15" customHeight="1" x14ac:dyDescent="0.2">
      <c r="A7" s="167" t="s">
        <v>219</v>
      </c>
      <c r="B7" s="168" t="s">
        <v>220</v>
      </c>
      <c r="C7" s="171">
        <v>1.4999999999999999E-2</v>
      </c>
      <c r="D7" s="170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</row>
    <row r="8" spans="1:23" ht="15" customHeight="1" x14ac:dyDescent="0.2">
      <c r="A8" s="167" t="s">
        <v>221</v>
      </c>
      <c r="B8" s="168" t="s">
        <v>222</v>
      </c>
      <c r="C8" s="171">
        <v>0.01</v>
      </c>
      <c r="D8" s="170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</row>
    <row r="9" spans="1:23" ht="15" customHeight="1" x14ac:dyDescent="0.2">
      <c r="A9" s="167" t="s">
        <v>223</v>
      </c>
      <c r="B9" s="168" t="s">
        <v>224</v>
      </c>
      <c r="C9" s="171">
        <v>2E-3</v>
      </c>
      <c r="D9" s="170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</row>
    <row r="10" spans="1:23" ht="15" customHeight="1" x14ac:dyDescent="0.2">
      <c r="A10" s="167" t="s">
        <v>225</v>
      </c>
      <c r="B10" s="168" t="s">
        <v>226</v>
      </c>
      <c r="C10" s="171">
        <v>6.0000000000000001E-3</v>
      </c>
      <c r="D10" s="170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</row>
    <row r="11" spans="1:23" ht="15" customHeight="1" x14ac:dyDescent="0.2">
      <c r="A11" s="167" t="s">
        <v>227</v>
      </c>
      <c r="B11" s="168" t="s">
        <v>228</v>
      </c>
      <c r="C11" s="171">
        <v>2.5000000000000001E-2</v>
      </c>
      <c r="D11" s="170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</row>
    <row r="12" spans="1:23" ht="15" customHeight="1" x14ac:dyDescent="0.2">
      <c r="A12" s="167" t="s">
        <v>229</v>
      </c>
      <c r="B12" s="168" t="s">
        <v>230</v>
      </c>
      <c r="C12" s="171">
        <v>0.03</v>
      </c>
      <c r="D12" s="170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</row>
    <row r="13" spans="1:23" ht="15" customHeight="1" x14ac:dyDescent="0.2">
      <c r="A13" s="167" t="s">
        <v>231</v>
      </c>
      <c r="B13" s="168" t="s">
        <v>232</v>
      </c>
      <c r="C13" s="171">
        <v>0.08</v>
      </c>
      <c r="D13" s="170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</row>
    <row r="14" spans="1:23" ht="15" customHeight="1" x14ac:dyDescent="0.2">
      <c r="A14" s="167" t="s">
        <v>233</v>
      </c>
      <c r="B14" s="172" t="s">
        <v>234</v>
      </c>
      <c r="C14" s="173">
        <f>SUM(C6:C13)</f>
        <v>0.36800000000000005</v>
      </c>
      <c r="D14" s="170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</row>
    <row r="15" spans="1:23" ht="15" customHeight="1" x14ac:dyDescent="0.2">
      <c r="A15" s="174"/>
      <c r="B15" s="175"/>
      <c r="C15" s="176"/>
      <c r="D15" s="170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</row>
    <row r="16" spans="1:23" ht="15" customHeight="1" x14ac:dyDescent="0.2">
      <c r="A16" s="167" t="s">
        <v>235</v>
      </c>
      <c r="B16" s="177" t="s">
        <v>236</v>
      </c>
      <c r="C16" s="171">
        <f>ROUND(IF('3.CAGED'!B24&gt;24,(1-12/'3.CAGED'!B24)*0.1111,0.1111-C25),4)</f>
        <v>6.1899999999999997E-2</v>
      </c>
      <c r="D16" s="170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</row>
    <row r="17" spans="1:23" ht="15" customHeight="1" x14ac:dyDescent="0.2">
      <c r="A17" s="167" t="s">
        <v>237</v>
      </c>
      <c r="B17" s="177" t="s">
        <v>238</v>
      </c>
      <c r="C17" s="171">
        <f>ROUND('3.CAGED'!B28/'3.CAGED'!B25,4)</f>
        <v>8.3299999999999999E-2</v>
      </c>
      <c r="D17" s="170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</row>
    <row r="18" spans="1:23" ht="15" customHeight="1" x14ac:dyDescent="0.2">
      <c r="A18" s="167" t="s">
        <v>239</v>
      </c>
      <c r="B18" s="177" t="s">
        <v>240</v>
      </c>
      <c r="C18" s="171">
        <v>5.9999999999999995E-4</v>
      </c>
      <c r="D18" s="170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</row>
    <row r="19" spans="1:23" ht="15" customHeight="1" x14ac:dyDescent="0.2">
      <c r="A19" s="167" t="s">
        <v>241</v>
      </c>
      <c r="B19" s="177" t="s">
        <v>242</v>
      </c>
      <c r="C19" s="171">
        <v>8.2000000000000007E-3</v>
      </c>
      <c r="D19" s="170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</row>
    <row r="20" spans="1:23" ht="15" customHeight="1" x14ac:dyDescent="0.2">
      <c r="A20" s="167" t="s">
        <v>243</v>
      </c>
      <c r="B20" s="177" t="s">
        <v>244</v>
      </c>
      <c r="C20" s="171">
        <v>3.0999999999999999E-3</v>
      </c>
      <c r="D20" s="170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</row>
    <row r="21" spans="1:23" ht="15" customHeight="1" x14ac:dyDescent="0.2">
      <c r="A21" s="167" t="s">
        <v>245</v>
      </c>
      <c r="B21" s="177" t="s">
        <v>246</v>
      </c>
      <c r="C21" s="171">
        <v>1.66E-2</v>
      </c>
      <c r="D21" s="170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</row>
    <row r="22" spans="1:23" ht="15" customHeight="1" x14ac:dyDescent="0.2">
      <c r="A22" s="167" t="s">
        <v>247</v>
      </c>
      <c r="B22" s="172" t="s">
        <v>248</v>
      </c>
      <c r="C22" s="173">
        <f>SUM(C16:C21)</f>
        <v>0.17369999999999999</v>
      </c>
      <c r="D22" s="178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</row>
    <row r="23" spans="1:23" ht="15" customHeight="1" x14ac:dyDescent="0.2">
      <c r="A23" s="174"/>
      <c r="B23" s="175"/>
      <c r="C23" s="176"/>
      <c r="D23" s="178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</row>
    <row r="24" spans="1:23" ht="15" customHeight="1" x14ac:dyDescent="0.2">
      <c r="A24" s="167" t="s">
        <v>249</v>
      </c>
      <c r="B24" s="168" t="s">
        <v>250</v>
      </c>
      <c r="C24" s="171">
        <f>ROUND(('3.CAGED'!B29) *'3.CAGED'!B22/'3.CAGED'!B25,4)</f>
        <v>2.5600000000000001E-2</v>
      </c>
      <c r="D24" s="170"/>
      <c r="E24" s="179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</row>
    <row r="25" spans="1:23" ht="15" customHeight="1" x14ac:dyDescent="0.2">
      <c r="A25" s="167" t="s">
        <v>251</v>
      </c>
      <c r="B25" s="168" t="s">
        <v>252</v>
      </c>
      <c r="C25" s="171">
        <f>ROUND(IF('3.CAGED'!B24&gt;12,12/'3.CAGED'!B24*0.1111,0.1111),4)</f>
        <v>4.9200000000000001E-2</v>
      </c>
      <c r="D25" s="170"/>
      <c r="E25" s="163"/>
      <c r="F25" s="163"/>
      <c r="G25" s="163"/>
      <c r="H25" s="180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</row>
    <row r="26" spans="1:23" ht="15" customHeight="1" x14ac:dyDescent="0.2">
      <c r="A26" s="167" t="s">
        <v>253</v>
      </c>
      <c r="B26" s="168" t="s">
        <v>254</v>
      </c>
      <c r="C26" s="171">
        <f>C24*C25</f>
        <v>1.2595200000000001E-3</v>
      </c>
      <c r="D26" s="170"/>
      <c r="E26" s="179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</row>
    <row r="27" spans="1:23" ht="15" customHeight="1" x14ac:dyDescent="0.2">
      <c r="A27" s="167" t="s">
        <v>255</v>
      </c>
      <c r="B27" s="168" t="s">
        <v>256</v>
      </c>
      <c r="C27" s="171">
        <f>ROUND(('3.CAGED'!B25+'3.CAGED'!B26+'3.CAGED'!B28)/'3.CAGED'!B23*'3.CAGED'!B30*'3.CAGED'!B31*'3.CAGED'!B22/'3.CAGED'!B25,4)</f>
        <v>2.0500000000000001E-2</v>
      </c>
      <c r="D27" s="170"/>
      <c r="E27" s="163"/>
      <c r="F27" s="163"/>
      <c r="G27" s="179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</row>
    <row r="28" spans="1:23" ht="15" customHeight="1" x14ac:dyDescent="0.2">
      <c r="A28" s="167" t="s">
        <v>257</v>
      </c>
      <c r="B28" s="168" t="s">
        <v>258</v>
      </c>
      <c r="C28" s="171">
        <f>ROUND(('3.CAGED'!B27/'3.CAGED'!B25)*'3.CAGED'!B22/12,4)</f>
        <v>1.8E-3</v>
      </c>
      <c r="D28" s="170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</row>
    <row r="29" spans="1:23" ht="15" customHeight="1" x14ac:dyDescent="0.2">
      <c r="A29" s="167" t="s">
        <v>259</v>
      </c>
      <c r="B29" s="172" t="s">
        <v>260</v>
      </c>
      <c r="C29" s="173">
        <f>SUM(C24:C28)</f>
        <v>9.8359520000000006E-2</v>
      </c>
      <c r="D29" s="178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</row>
    <row r="30" spans="1:23" ht="15" customHeight="1" x14ac:dyDescent="0.2">
      <c r="A30" s="174"/>
      <c r="B30" s="175"/>
      <c r="C30" s="176"/>
      <c r="D30" s="178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</row>
    <row r="31" spans="1:23" ht="15" customHeight="1" x14ac:dyDescent="0.2">
      <c r="A31" s="167" t="s">
        <v>261</v>
      </c>
      <c r="B31" s="168" t="s">
        <v>262</v>
      </c>
      <c r="C31" s="171">
        <f>ROUND(C14*C22,4)</f>
        <v>6.3899999999999998E-2</v>
      </c>
      <c r="D31" s="170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</row>
    <row r="32" spans="1:23" ht="15" customHeight="1" x14ac:dyDescent="0.2">
      <c r="A32" s="167" t="s">
        <v>263</v>
      </c>
      <c r="B32" s="181" t="s">
        <v>264</v>
      </c>
      <c r="C32" s="171">
        <f>ROUND((C24*C13),4)</f>
        <v>2E-3</v>
      </c>
      <c r="D32" s="17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</row>
    <row r="33" spans="1:23" ht="15" customHeight="1" x14ac:dyDescent="0.2">
      <c r="A33" s="167" t="s">
        <v>265</v>
      </c>
      <c r="B33" s="172" t="s">
        <v>266</v>
      </c>
      <c r="C33" s="173">
        <f>SUM(C31:C32)</f>
        <v>6.59E-2</v>
      </c>
      <c r="D33" s="178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</row>
    <row r="34" spans="1:23" ht="15" customHeight="1" x14ac:dyDescent="0.2">
      <c r="A34" s="182"/>
      <c r="B34" s="183" t="s">
        <v>267</v>
      </c>
      <c r="C34" s="184">
        <f>C33+C29+C22+C14</f>
        <v>0.70595951999999995</v>
      </c>
      <c r="D34" s="178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</row>
    <row r="35" spans="1:23" ht="12.75" customHeight="1" x14ac:dyDescent="0.2">
      <c r="A35" s="170"/>
      <c r="B35" s="185"/>
      <c r="C35" s="186"/>
      <c r="D35" s="18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</row>
    <row r="36" spans="1:23" ht="12.75" customHeight="1" x14ac:dyDescent="0.2">
      <c r="A36" s="170"/>
      <c r="B36" s="170"/>
      <c r="C36" s="188"/>
      <c r="D36" s="189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</row>
    <row r="37" spans="1:23" ht="12.75" customHeight="1" x14ac:dyDescent="0.2">
      <c r="A37" s="170"/>
      <c r="B37" s="170"/>
      <c r="C37" s="188"/>
      <c r="D37" s="170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</row>
    <row r="38" spans="1:23" ht="12.75" customHeight="1" x14ac:dyDescent="0.2">
      <c r="A38" s="170"/>
      <c r="B38" s="170"/>
      <c r="C38" s="188"/>
      <c r="D38" s="170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</row>
    <row r="39" spans="1:23" ht="12.75" customHeight="1" x14ac:dyDescent="0.2">
      <c r="A39" s="170"/>
      <c r="B39" s="170"/>
      <c r="C39" s="188"/>
      <c r="D39" s="170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</row>
    <row r="40" spans="1:23" ht="12.75" customHeight="1" x14ac:dyDescent="0.2">
      <c r="A40" s="170"/>
      <c r="B40" s="185"/>
      <c r="C40" s="186"/>
      <c r="D40" s="170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</row>
    <row r="41" spans="1:23" ht="12.75" customHeight="1" x14ac:dyDescent="0.2">
      <c r="A41" s="178"/>
      <c r="B41" s="185"/>
      <c r="C41" s="186"/>
      <c r="D41" s="178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</row>
    <row r="42" spans="1:23" ht="12.75" customHeight="1" x14ac:dyDescent="0.2">
      <c r="A42" s="190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</row>
    <row r="43" spans="1:23" ht="12.75" customHeight="1" x14ac:dyDescent="0.2">
      <c r="A43" s="191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</row>
    <row r="44" spans="1:23" ht="12.75" customHeight="1" x14ac:dyDescent="0.2">
      <c r="A44" s="170"/>
      <c r="B44" s="192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</row>
    <row r="45" spans="1:23" ht="12.75" customHeight="1" x14ac:dyDescent="0.2">
      <c r="A45" s="170"/>
      <c r="B45" s="192"/>
      <c r="C45" s="170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</row>
    <row r="46" spans="1:23" ht="12.75" customHeight="1" x14ac:dyDescent="0.2">
      <c r="A46" s="170"/>
      <c r="B46" s="188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</row>
    <row r="47" spans="1:23" ht="12.75" customHeight="1" x14ac:dyDescent="0.2">
      <c r="A47" s="170"/>
      <c r="B47" s="192"/>
      <c r="C47" s="170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</row>
    <row r="48" spans="1:23" ht="12.75" customHeight="1" x14ac:dyDescent="0.2">
      <c r="A48" s="170"/>
      <c r="B48" s="188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</row>
    <row r="49" spans="1:23" ht="12.75" customHeight="1" x14ac:dyDescent="0.2">
      <c r="A49" s="170"/>
      <c r="B49" s="192"/>
      <c r="C49" s="170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</row>
    <row r="50" spans="1:23" ht="12.75" customHeight="1" x14ac:dyDescent="0.2">
      <c r="A50" s="170"/>
      <c r="B50" s="188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</row>
    <row r="51" spans="1:23" ht="12.75" customHeight="1" x14ac:dyDescent="0.2">
      <c r="A51" s="170"/>
      <c r="B51" s="192"/>
      <c r="C51" s="170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</row>
    <row r="52" spans="1:23" ht="12.75" customHeight="1" x14ac:dyDescent="0.2">
      <c r="A52" s="170"/>
      <c r="B52" s="188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</row>
    <row r="53" spans="1:23" ht="12.75" customHeight="1" x14ac:dyDescent="0.2">
      <c r="A53" s="190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</row>
    <row r="54" spans="1:23" ht="12.75" customHeight="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</row>
    <row r="55" spans="1:23" ht="12.75" customHeight="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</row>
    <row r="56" spans="1:23" ht="12.75" customHeight="1" x14ac:dyDescent="0.2">
      <c r="A56" s="132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</row>
    <row r="57" spans="1:23" ht="12.75" customHeight="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</row>
    <row r="58" spans="1:23" ht="12.75" customHeight="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</row>
    <row r="59" spans="1:23" ht="12.75" customHeight="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</row>
    <row r="60" spans="1:23" ht="12.75" customHeight="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</row>
    <row r="61" spans="1:23" ht="12.75" customHeight="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</row>
    <row r="62" spans="1:23" ht="12.75" customHeight="1" x14ac:dyDescent="0.2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</row>
    <row r="63" spans="1:23" ht="12.75" customHeight="1" x14ac:dyDescent="0.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</row>
    <row r="64" spans="1:23" ht="12.75" customHeight="1" x14ac:dyDescent="0.2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</row>
    <row r="65" spans="1:23" ht="12.75" customHeight="1" x14ac:dyDescent="0.2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</row>
    <row r="66" spans="1:23" ht="12.75" customHeight="1" x14ac:dyDescent="0.2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</row>
    <row r="67" spans="1:23" ht="12.75" customHeight="1" x14ac:dyDescent="0.2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</row>
    <row r="68" spans="1:23" ht="12.75" customHeight="1" x14ac:dyDescent="0.2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</row>
    <row r="69" spans="1:23" ht="12.75" customHeight="1" x14ac:dyDescent="0.2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</row>
    <row r="70" spans="1:23" ht="12.75" customHeight="1" x14ac:dyDescent="0.2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</row>
    <row r="71" spans="1:23" ht="12.75" customHeight="1" x14ac:dyDescent="0.2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</row>
    <row r="72" spans="1:23" ht="12.75" customHeight="1" x14ac:dyDescent="0.2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</row>
    <row r="73" spans="1:23" ht="12.75" customHeight="1" x14ac:dyDescent="0.2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</row>
    <row r="74" spans="1:23" ht="12.75" customHeight="1" x14ac:dyDescent="0.2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</row>
    <row r="75" spans="1:23" ht="12.75" customHeight="1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</row>
    <row r="76" spans="1:23" ht="12.75" customHeight="1" x14ac:dyDescent="0.2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</row>
    <row r="77" spans="1:23" ht="12.75" customHeight="1" x14ac:dyDescent="0.2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</row>
    <row r="78" spans="1:23" ht="12.75" customHeight="1" x14ac:dyDescent="0.2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</row>
    <row r="79" spans="1:23" ht="12.75" customHeight="1" x14ac:dyDescent="0.2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</row>
    <row r="80" spans="1:23" ht="12.75" customHeight="1" x14ac:dyDescent="0.2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</row>
    <row r="81" spans="1:23" ht="12.75" customHeight="1" x14ac:dyDescent="0.2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</row>
    <row r="82" spans="1:23" ht="12.75" customHeight="1" x14ac:dyDescent="0.2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</row>
    <row r="83" spans="1:23" ht="12.75" customHeight="1" x14ac:dyDescent="0.2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</row>
    <row r="84" spans="1:23" ht="12.75" customHeight="1" x14ac:dyDescent="0.2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</row>
    <row r="85" spans="1:23" ht="12.75" customHeight="1" x14ac:dyDescent="0.2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</row>
    <row r="86" spans="1:23" ht="12.75" customHeight="1" x14ac:dyDescent="0.2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</row>
    <row r="87" spans="1:23" ht="12.75" customHeight="1" x14ac:dyDescent="0.2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</row>
    <row r="88" spans="1:23" ht="12.75" customHeight="1" x14ac:dyDescent="0.2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</row>
    <row r="89" spans="1:23" ht="12.75" customHeight="1" x14ac:dyDescent="0.2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</row>
    <row r="90" spans="1:23" ht="12.75" customHeight="1" x14ac:dyDescent="0.2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</row>
    <row r="91" spans="1:23" ht="12.75" customHeight="1" x14ac:dyDescent="0.2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</row>
    <row r="92" spans="1:23" ht="12.75" customHeight="1" x14ac:dyDescent="0.2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</row>
    <row r="93" spans="1:23" ht="12.75" customHeight="1" x14ac:dyDescent="0.2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</row>
    <row r="94" spans="1:23" ht="12.75" customHeight="1" x14ac:dyDescent="0.2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</row>
    <row r="95" spans="1:23" ht="12.75" customHeight="1" x14ac:dyDescent="0.2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</row>
    <row r="96" spans="1:23" ht="12.75" customHeight="1" x14ac:dyDescent="0.2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</row>
    <row r="97" spans="1:23" ht="12.75" customHeight="1" x14ac:dyDescent="0.2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</row>
    <row r="98" spans="1:23" ht="12.75" customHeight="1" x14ac:dyDescent="0.2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</row>
    <row r="99" spans="1:23" ht="12.75" customHeight="1" x14ac:dyDescent="0.2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</row>
    <row r="100" spans="1:23" ht="12.75" customHeight="1" x14ac:dyDescent="0.2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</row>
    <row r="101" spans="1:23" ht="12.75" customHeight="1" x14ac:dyDescent="0.2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</row>
    <row r="102" spans="1:23" ht="12.75" customHeight="1" x14ac:dyDescent="0.2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</row>
    <row r="103" spans="1:23" ht="12.75" customHeight="1" x14ac:dyDescent="0.2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</row>
    <row r="104" spans="1:23" ht="12.75" customHeight="1" x14ac:dyDescent="0.2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</row>
    <row r="105" spans="1:23" ht="12.75" customHeight="1" x14ac:dyDescent="0.2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</row>
    <row r="106" spans="1:23" ht="12.75" customHeight="1" x14ac:dyDescent="0.2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</row>
    <row r="107" spans="1:23" ht="12.75" customHeight="1" x14ac:dyDescent="0.2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</row>
    <row r="108" spans="1:23" ht="12.75" customHeight="1" x14ac:dyDescent="0.2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</row>
    <row r="109" spans="1:23" ht="12.75" customHeight="1" x14ac:dyDescent="0.2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</row>
    <row r="110" spans="1:23" ht="12.75" customHeight="1" x14ac:dyDescent="0.2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</row>
    <row r="111" spans="1:23" ht="12.75" customHeight="1" x14ac:dyDescent="0.2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</row>
    <row r="112" spans="1:23" ht="12.75" customHeight="1" x14ac:dyDescent="0.2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</row>
    <row r="113" spans="1:23" ht="12.75" customHeight="1" x14ac:dyDescent="0.2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</row>
    <row r="114" spans="1:23" ht="12.75" customHeight="1" x14ac:dyDescent="0.2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</row>
    <row r="115" spans="1:23" ht="12.75" customHeight="1" x14ac:dyDescent="0.2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</row>
    <row r="116" spans="1:23" ht="12.75" customHeight="1" x14ac:dyDescent="0.2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</row>
    <row r="117" spans="1:23" ht="12.75" customHeight="1" x14ac:dyDescent="0.2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</row>
    <row r="118" spans="1:23" ht="12.75" customHeight="1" x14ac:dyDescent="0.2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</row>
    <row r="119" spans="1:23" ht="12.75" customHeight="1" x14ac:dyDescent="0.2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</row>
    <row r="120" spans="1:23" ht="12.75" customHeight="1" x14ac:dyDescent="0.2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</row>
    <row r="121" spans="1:23" ht="12.75" customHeight="1" x14ac:dyDescent="0.2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</row>
    <row r="122" spans="1:23" ht="12.75" customHeight="1" x14ac:dyDescent="0.2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</row>
    <row r="123" spans="1:23" ht="12.75" customHeight="1" x14ac:dyDescent="0.2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</row>
    <row r="124" spans="1:23" ht="12.75" customHeight="1" x14ac:dyDescent="0.2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</row>
    <row r="125" spans="1:23" ht="12.75" customHeight="1" x14ac:dyDescent="0.2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</row>
    <row r="126" spans="1:23" ht="12.75" customHeight="1" x14ac:dyDescent="0.2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</row>
    <row r="127" spans="1:23" ht="12.75" customHeight="1" x14ac:dyDescent="0.2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</row>
    <row r="128" spans="1:23" ht="12.75" customHeight="1" x14ac:dyDescent="0.2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</row>
    <row r="129" spans="1:23" ht="12.75" customHeight="1" x14ac:dyDescent="0.2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</row>
    <row r="130" spans="1:23" ht="12.75" customHeight="1" x14ac:dyDescent="0.2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</row>
    <row r="131" spans="1:23" ht="12.75" customHeight="1" x14ac:dyDescent="0.2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</row>
    <row r="132" spans="1:23" ht="12.75" customHeight="1" x14ac:dyDescent="0.2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</row>
    <row r="133" spans="1:23" ht="12.75" customHeight="1" x14ac:dyDescent="0.2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</row>
    <row r="134" spans="1:23" ht="12.75" customHeight="1" x14ac:dyDescent="0.2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</row>
    <row r="135" spans="1:23" ht="12.75" customHeight="1" x14ac:dyDescent="0.2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</row>
    <row r="136" spans="1:23" ht="12.75" customHeight="1" x14ac:dyDescent="0.2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</row>
    <row r="137" spans="1:23" ht="12.75" customHeight="1" x14ac:dyDescent="0.2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</row>
    <row r="138" spans="1:23" ht="12.75" customHeight="1" x14ac:dyDescent="0.2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</row>
    <row r="139" spans="1:23" ht="12.75" customHeight="1" x14ac:dyDescent="0.2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</row>
    <row r="140" spans="1:23" ht="12.75" customHeight="1" x14ac:dyDescent="0.2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</row>
    <row r="141" spans="1:23" ht="12.75" customHeight="1" x14ac:dyDescent="0.2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</row>
    <row r="142" spans="1:23" ht="12.75" customHeight="1" x14ac:dyDescent="0.2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</row>
    <row r="143" spans="1:23" ht="12.75" customHeight="1" x14ac:dyDescent="0.2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</row>
    <row r="144" spans="1:23" ht="12.75" customHeight="1" x14ac:dyDescent="0.2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</row>
    <row r="145" spans="1:23" ht="12.75" customHeight="1" x14ac:dyDescent="0.2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</row>
    <row r="146" spans="1:23" ht="12.75" customHeight="1" x14ac:dyDescent="0.2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</row>
    <row r="147" spans="1:23" ht="12.75" customHeight="1" x14ac:dyDescent="0.2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</row>
    <row r="148" spans="1:23" ht="12.75" customHeight="1" x14ac:dyDescent="0.2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</row>
    <row r="149" spans="1:23" ht="12.75" customHeight="1" x14ac:dyDescent="0.2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</row>
    <row r="150" spans="1:23" ht="12.75" customHeight="1" x14ac:dyDescent="0.2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</row>
    <row r="151" spans="1:23" ht="12.75" customHeight="1" x14ac:dyDescent="0.2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</row>
    <row r="152" spans="1:23" ht="12.75" customHeight="1" x14ac:dyDescent="0.2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</row>
    <row r="153" spans="1:23" ht="12.75" customHeight="1" x14ac:dyDescent="0.2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</row>
    <row r="154" spans="1:23" ht="12.75" customHeight="1" x14ac:dyDescent="0.2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</row>
    <row r="155" spans="1:23" ht="12.75" customHeight="1" x14ac:dyDescent="0.2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</row>
    <row r="156" spans="1:23" ht="12.75" customHeight="1" x14ac:dyDescent="0.2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</row>
    <row r="157" spans="1:23" ht="12.75" customHeight="1" x14ac:dyDescent="0.2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</row>
    <row r="158" spans="1:23" ht="12.75" customHeight="1" x14ac:dyDescent="0.2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</row>
    <row r="159" spans="1:23" ht="12.75" customHeight="1" x14ac:dyDescent="0.2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</row>
    <row r="160" spans="1:23" ht="12.75" customHeight="1" x14ac:dyDescent="0.2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</row>
    <row r="161" spans="1:23" ht="12.75" customHeight="1" x14ac:dyDescent="0.2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</row>
    <row r="162" spans="1:23" ht="12.75" customHeight="1" x14ac:dyDescent="0.2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</row>
    <row r="163" spans="1:23" ht="12.75" customHeight="1" x14ac:dyDescent="0.2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</row>
    <row r="164" spans="1:23" ht="12.75" customHeight="1" x14ac:dyDescent="0.2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</row>
    <row r="165" spans="1:23" ht="12.75" customHeight="1" x14ac:dyDescent="0.2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</row>
    <row r="166" spans="1:23" ht="12.75" customHeight="1" x14ac:dyDescent="0.2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</row>
    <row r="167" spans="1:23" ht="12.75" customHeight="1" x14ac:dyDescent="0.2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</row>
    <row r="168" spans="1:23" ht="12.75" customHeight="1" x14ac:dyDescent="0.2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</row>
    <row r="169" spans="1:23" ht="12.75" customHeight="1" x14ac:dyDescent="0.2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</row>
    <row r="170" spans="1:23" ht="12.75" customHeight="1" x14ac:dyDescent="0.2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</row>
    <row r="171" spans="1:23" ht="12.75" customHeight="1" x14ac:dyDescent="0.2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</row>
    <row r="172" spans="1:23" ht="12.75" customHeight="1" x14ac:dyDescent="0.2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</row>
    <row r="173" spans="1:23" ht="12.75" customHeight="1" x14ac:dyDescent="0.2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</row>
    <row r="174" spans="1:23" ht="12.75" customHeight="1" x14ac:dyDescent="0.2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</row>
    <row r="175" spans="1:23" ht="12.75" customHeight="1" x14ac:dyDescent="0.2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</row>
    <row r="176" spans="1:23" ht="12.75" customHeight="1" x14ac:dyDescent="0.2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</row>
    <row r="177" spans="1:23" ht="12.75" customHeight="1" x14ac:dyDescent="0.2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</row>
    <row r="178" spans="1:23" ht="12.75" customHeight="1" x14ac:dyDescent="0.2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</row>
    <row r="179" spans="1:23" ht="12.75" customHeight="1" x14ac:dyDescent="0.2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</row>
    <row r="180" spans="1:23" ht="12.75" customHeight="1" x14ac:dyDescent="0.2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</row>
    <row r="181" spans="1:23" ht="12.75" customHeight="1" x14ac:dyDescent="0.2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</row>
    <row r="182" spans="1:23" ht="12.75" customHeight="1" x14ac:dyDescent="0.2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</row>
    <row r="183" spans="1:23" ht="12.75" customHeight="1" x14ac:dyDescent="0.2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</row>
    <row r="184" spans="1:23" ht="12.75" customHeight="1" x14ac:dyDescent="0.2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</row>
    <row r="185" spans="1:23" ht="12.75" customHeight="1" x14ac:dyDescent="0.2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</row>
    <row r="186" spans="1:23" ht="12.75" customHeight="1" x14ac:dyDescent="0.2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</row>
    <row r="187" spans="1:23" ht="12.75" customHeight="1" x14ac:dyDescent="0.2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</row>
    <row r="188" spans="1:23" ht="12.75" customHeight="1" x14ac:dyDescent="0.2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</row>
    <row r="189" spans="1:23" ht="12.75" customHeight="1" x14ac:dyDescent="0.2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</row>
    <row r="190" spans="1:23" ht="12.75" customHeight="1" x14ac:dyDescent="0.2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</row>
    <row r="191" spans="1:23" ht="12.75" customHeight="1" x14ac:dyDescent="0.2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</row>
    <row r="192" spans="1:23" ht="12.75" customHeight="1" x14ac:dyDescent="0.2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</row>
    <row r="193" spans="1:23" ht="12.75" customHeight="1" x14ac:dyDescent="0.2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</row>
    <row r="194" spans="1:23" ht="12.75" customHeight="1" x14ac:dyDescent="0.2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</row>
    <row r="195" spans="1:23" ht="12.75" customHeight="1" x14ac:dyDescent="0.2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</row>
    <row r="196" spans="1:23" ht="12.75" customHeight="1" x14ac:dyDescent="0.2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</row>
    <row r="197" spans="1:23" ht="12.75" customHeight="1" x14ac:dyDescent="0.2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</row>
    <row r="198" spans="1:23" ht="12.75" customHeight="1" x14ac:dyDescent="0.2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</row>
    <row r="199" spans="1:23" ht="12.75" customHeight="1" x14ac:dyDescent="0.2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</row>
    <row r="200" spans="1:23" ht="12.75" customHeight="1" x14ac:dyDescent="0.2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</row>
    <row r="201" spans="1:23" ht="12.75" customHeight="1" x14ac:dyDescent="0.2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</row>
    <row r="202" spans="1:23" ht="12.75" customHeight="1" x14ac:dyDescent="0.2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</row>
    <row r="203" spans="1:23" ht="12.75" customHeight="1" x14ac:dyDescent="0.2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</row>
    <row r="204" spans="1:23" ht="12.75" customHeight="1" x14ac:dyDescent="0.2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</row>
    <row r="205" spans="1:23" ht="12.75" customHeight="1" x14ac:dyDescent="0.2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</row>
    <row r="206" spans="1:23" ht="12.75" customHeight="1" x14ac:dyDescent="0.2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</row>
    <row r="207" spans="1:23" ht="12.75" customHeight="1" x14ac:dyDescent="0.2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</row>
    <row r="208" spans="1:23" ht="12.75" customHeight="1" x14ac:dyDescent="0.2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</row>
    <row r="209" spans="1:23" ht="12.75" customHeight="1" x14ac:dyDescent="0.2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</row>
    <row r="210" spans="1:23" ht="12.75" customHeight="1" x14ac:dyDescent="0.2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</row>
    <row r="211" spans="1:23" ht="12.75" customHeight="1" x14ac:dyDescent="0.2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</row>
    <row r="212" spans="1:23" ht="12.75" customHeight="1" x14ac:dyDescent="0.2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</row>
    <row r="213" spans="1:23" ht="12.75" customHeight="1" x14ac:dyDescent="0.2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</row>
    <row r="214" spans="1:23" ht="12.75" customHeight="1" x14ac:dyDescent="0.2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</row>
    <row r="215" spans="1:23" ht="12.75" customHeight="1" x14ac:dyDescent="0.2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</row>
    <row r="216" spans="1:23" ht="12.75" customHeight="1" x14ac:dyDescent="0.2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</row>
    <row r="217" spans="1:23" ht="12.75" customHeight="1" x14ac:dyDescent="0.2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</row>
    <row r="218" spans="1:23" ht="12.75" customHeight="1" x14ac:dyDescent="0.2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</row>
    <row r="219" spans="1:23" ht="12.75" customHeight="1" x14ac:dyDescent="0.2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</row>
    <row r="220" spans="1:23" ht="12.75" customHeight="1" x14ac:dyDescent="0.2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</row>
    <row r="221" spans="1:23" ht="12.75" customHeight="1" x14ac:dyDescent="0.2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</row>
    <row r="222" spans="1:23" ht="12.75" customHeight="1" x14ac:dyDescent="0.2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</row>
    <row r="223" spans="1:23" ht="12.75" customHeight="1" x14ac:dyDescent="0.2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</row>
    <row r="224" spans="1:23" ht="12.75" customHeight="1" x14ac:dyDescent="0.2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</row>
    <row r="225" spans="1:23" ht="12.75" customHeight="1" x14ac:dyDescent="0.2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</row>
    <row r="226" spans="1:23" ht="12.75" customHeight="1" x14ac:dyDescent="0.2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</row>
    <row r="227" spans="1:23" ht="12.75" customHeight="1" x14ac:dyDescent="0.2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</row>
    <row r="228" spans="1:23" ht="12.75" customHeight="1" x14ac:dyDescent="0.2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</row>
    <row r="229" spans="1:23" ht="12.75" customHeight="1" x14ac:dyDescent="0.2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</row>
    <row r="230" spans="1:23" ht="12.75" customHeight="1" x14ac:dyDescent="0.2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</row>
    <row r="231" spans="1:23" ht="12.75" customHeight="1" x14ac:dyDescent="0.2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</row>
    <row r="232" spans="1:23" ht="12.75" customHeight="1" x14ac:dyDescent="0.2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</row>
    <row r="233" spans="1:23" ht="12.75" customHeight="1" x14ac:dyDescent="0.2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</row>
    <row r="234" spans="1:23" ht="12.75" customHeight="1" x14ac:dyDescent="0.2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</row>
    <row r="235" spans="1:23" ht="15.75" customHeight="1" x14ac:dyDescent="0.2"/>
    <row r="236" spans="1:23" ht="15.75" customHeight="1" x14ac:dyDescent="0.2"/>
    <row r="237" spans="1:23" ht="15.75" customHeight="1" x14ac:dyDescent="0.2"/>
    <row r="238" spans="1:23" ht="15.75" customHeight="1" x14ac:dyDescent="0.2"/>
    <row r="239" spans="1:23" ht="15.75" customHeight="1" x14ac:dyDescent="0.2"/>
    <row r="240" spans="1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1">
    <mergeCell ref="A4:C4"/>
  </mergeCells>
  <pageMargins left="0.98425196850393704" right="0.51181102362204722" top="0.74803149606299213" bottom="0.74803149606299213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6"/>
  <sheetViews>
    <sheetView workbookViewId="0"/>
  </sheetViews>
  <sheetFormatPr defaultColWidth="12.5703125" defaultRowHeight="15" customHeight="1" x14ac:dyDescent="0.2"/>
  <cols>
    <col min="1" max="1" width="54.140625" customWidth="1"/>
    <col min="2" max="2" width="13.7109375" customWidth="1"/>
    <col min="3" max="3" width="10.28515625" customWidth="1"/>
    <col min="4" max="4" width="13.7109375" customWidth="1"/>
    <col min="5" max="22" width="9.140625" customWidth="1"/>
  </cols>
  <sheetData>
    <row r="1" spans="1:22" ht="42" customHeight="1" x14ac:dyDescent="0.2">
      <c r="A1" s="290" t="s">
        <v>268</v>
      </c>
      <c r="B1" s="291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</row>
    <row r="2" spans="1:22" ht="15" customHeight="1" x14ac:dyDescent="0.2">
      <c r="A2" s="163"/>
      <c r="B2" s="163"/>
      <c r="C2" s="163"/>
      <c r="D2" s="19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</row>
    <row r="3" spans="1:22" ht="15" customHeight="1" x14ac:dyDescent="0.25">
      <c r="A3" s="292" t="s">
        <v>269</v>
      </c>
      <c r="B3" s="289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</row>
    <row r="4" spans="1:22" ht="15" customHeight="1" x14ac:dyDescent="0.25">
      <c r="A4" s="194" t="s">
        <v>270</v>
      </c>
      <c r="B4" s="195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</row>
    <row r="5" spans="1:22" ht="15" customHeight="1" x14ac:dyDescent="0.25">
      <c r="A5" s="196" t="s">
        <v>271</v>
      </c>
      <c r="B5" s="197">
        <v>2100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6" spans="1:22" ht="15" customHeight="1" x14ac:dyDescent="0.25">
      <c r="A6" s="198" t="s">
        <v>272</v>
      </c>
      <c r="B6" s="197">
        <v>2031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</row>
    <row r="7" spans="1:22" ht="15" customHeight="1" x14ac:dyDescent="0.2">
      <c r="A7" s="199" t="s">
        <v>273</v>
      </c>
      <c r="B7" s="200">
        <v>44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</row>
    <row r="8" spans="1:22" ht="15" customHeight="1" x14ac:dyDescent="0.2">
      <c r="A8" s="199" t="s">
        <v>274</v>
      </c>
      <c r="B8" s="200">
        <v>1192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</row>
    <row r="9" spans="1:22" ht="15" customHeight="1" x14ac:dyDescent="0.2">
      <c r="A9" s="199" t="s">
        <v>275</v>
      </c>
      <c r="B9" s="200">
        <v>372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</row>
    <row r="10" spans="1:22" ht="15" customHeight="1" x14ac:dyDescent="0.2">
      <c r="A10" s="199" t="s">
        <v>276</v>
      </c>
      <c r="B10" s="200">
        <v>22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</row>
    <row r="11" spans="1:22" ht="15" customHeight="1" x14ac:dyDescent="0.2">
      <c r="A11" s="199" t="s">
        <v>277</v>
      </c>
      <c r="B11" s="200">
        <v>350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</row>
    <row r="12" spans="1:22" ht="15" customHeight="1" x14ac:dyDescent="0.2">
      <c r="A12" s="199" t="s">
        <v>278</v>
      </c>
      <c r="B12" s="200">
        <v>1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22" ht="15" customHeight="1" x14ac:dyDescent="0.2">
      <c r="A13" s="199" t="s">
        <v>279</v>
      </c>
      <c r="B13" s="200">
        <v>30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</row>
    <row r="14" spans="1:22" ht="15" customHeight="1" x14ac:dyDescent="0.2">
      <c r="A14" s="201" t="s">
        <v>280</v>
      </c>
      <c r="B14" s="202">
        <v>0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</row>
    <row r="15" spans="1:22" ht="15" customHeight="1" x14ac:dyDescent="0.2">
      <c r="A15" s="203" t="s">
        <v>281</v>
      </c>
      <c r="B15" s="202">
        <v>0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</row>
    <row r="16" spans="1:22" ht="15" customHeight="1" x14ac:dyDescent="0.25">
      <c r="A16" s="194" t="s">
        <v>282</v>
      </c>
      <c r="B16" s="195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</row>
    <row r="17" spans="1:22" ht="15" customHeight="1" x14ac:dyDescent="0.2">
      <c r="A17" s="204" t="s">
        <v>283</v>
      </c>
      <c r="B17" s="205">
        <v>4625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5" customHeight="1" x14ac:dyDescent="0.2">
      <c r="A18" s="199" t="s">
        <v>284</v>
      </c>
      <c r="B18" s="200">
        <v>4694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</row>
    <row r="19" spans="1:22" ht="15" customHeight="1" x14ac:dyDescent="0.2">
      <c r="A19" s="199" t="s">
        <v>285</v>
      </c>
      <c r="B19" s="206">
        <f>B5-B6</f>
        <v>69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</row>
    <row r="20" spans="1:22" ht="15" customHeight="1" x14ac:dyDescent="0.2">
      <c r="A20" s="207"/>
      <c r="B20" s="208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</row>
    <row r="21" spans="1:22" ht="15" customHeight="1" x14ac:dyDescent="0.25">
      <c r="A21" s="196" t="s">
        <v>286</v>
      </c>
      <c r="B21" s="209">
        <f>MEDIAN(B17,B18)</f>
        <v>4659.5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</row>
    <row r="22" spans="1:22" ht="15" customHeight="1" x14ac:dyDescent="0.25">
      <c r="A22" s="198" t="s">
        <v>287</v>
      </c>
      <c r="B22" s="211">
        <f>B8/B21</f>
        <v>0.25582144006867691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</row>
    <row r="23" spans="1:22" ht="15" customHeight="1" x14ac:dyDescent="0.25">
      <c r="A23" s="198" t="s">
        <v>288</v>
      </c>
      <c r="B23" s="211">
        <f>MEDIAN(B5,B6)/B21</f>
        <v>0.44328790642772831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</row>
    <row r="24" spans="1:22" ht="15" customHeight="1" x14ac:dyDescent="0.25">
      <c r="A24" s="198" t="s">
        <v>289</v>
      </c>
      <c r="B24" s="212">
        <f>12/B23</f>
        <v>27.070442992011618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</row>
    <row r="25" spans="1:22" ht="15" customHeight="1" x14ac:dyDescent="0.25">
      <c r="A25" s="198" t="s">
        <v>290</v>
      </c>
      <c r="B25" s="213">
        <v>360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</row>
    <row r="26" spans="1:22" ht="15" customHeight="1" x14ac:dyDescent="0.25">
      <c r="A26" s="198" t="s">
        <v>291</v>
      </c>
      <c r="B26" s="213">
        <v>10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</row>
    <row r="27" spans="1:22" ht="15" customHeight="1" x14ac:dyDescent="0.25">
      <c r="A27" s="196" t="s">
        <v>292</v>
      </c>
      <c r="B27" s="209">
        <v>30</v>
      </c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</row>
    <row r="28" spans="1:22" ht="15" customHeight="1" x14ac:dyDescent="0.25">
      <c r="A28" s="196" t="s">
        <v>293</v>
      </c>
      <c r="B28" s="209">
        <v>30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</row>
    <row r="29" spans="1:22" ht="15" customHeight="1" x14ac:dyDescent="0.25">
      <c r="A29" s="196" t="s">
        <v>294</v>
      </c>
      <c r="B29" s="209">
        <f>30+(3*TRUNC(1/B23))</f>
        <v>36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</row>
    <row r="30" spans="1:22" ht="15" customHeight="1" x14ac:dyDescent="0.25">
      <c r="A30" s="198" t="s">
        <v>232</v>
      </c>
      <c r="B30" s="214">
        <v>0.08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</row>
    <row r="31" spans="1:22" ht="15" customHeight="1" x14ac:dyDescent="0.25">
      <c r="A31" s="215" t="s">
        <v>295</v>
      </c>
      <c r="B31" s="216">
        <v>0.4</v>
      </c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</row>
    <row r="32" spans="1:22" ht="12.75" customHeight="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</row>
    <row r="33" spans="1:22" ht="12.75" customHeight="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2.75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</row>
    <row r="35" spans="1:22" ht="12.75" customHeight="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</row>
    <row r="36" spans="1:22" ht="12.75" customHeight="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</row>
    <row r="37" spans="1:22" ht="12.75" customHeight="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</row>
    <row r="38" spans="1:22" ht="12.75" customHeight="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</row>
    <row r="39" spans="1:22" ht="12.75" customHeight="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</row>
    <row r="40" spans="1:22" ht="12.75" customHeight="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</row>
    <row r="41" spans="1:22" ht="12.75" customHeight="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</row>
    <row r="42" spans="1:22" ht="12.75" customHeight="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</row>
    <row r="43" spans="1:22" ht="12.75" customHeight="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</row>
    <row r="44" spans="1:22" ht="12.75" customHeight="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</row>
    <row r="45" spans="1:22" ht="12.75" customHeight="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</row>
    <row r="46" spans="1:22" ht="12.75" customHeight="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</row>
    <row r="47" spans="1:22" ht="12.75" customHeight="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</row>
    <row r="48" spans="1:22" ht="12.75" customHeight="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</row>
    <row r="49" spans="1:22" ht="12.75" customHeight="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</row>
    <row r="50" spans="1:22" ht="12.75" customHeight="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</row>
    <row r="51" spans="1:22" ht="12.75" customHeight="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</row>
    <row r="52" spans="1:22" ht="12.75" customHeight="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 spans="1:22" ht="12.75" customHeight="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</row>
    <row r="54" spans="1:22" ht="12.75" customHeight="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</row>
    <row r="55" spans="1:22" ht="12.75" customHeight="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</row>
    <row r="56" spans="1:22" ht="12.75" customHeight="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</row>
    <row r="57" spans="1:22" ht="12.75" customHeight="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</row>
    <row r="58" spans="1:22" ht="12.75" customHeight="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</row>
    <row r="59" spans="1:22" ht="12.75" customHeight="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</row>
    <row r="60" spans="1:22" ht="12.75" customHeight="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</row>
    <row r="61" spans="1:22" ht="12.75" customHeight="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</row>
    <row r="62" spans="1:22" ht="12.75" customHeight="1" x14ac:dyDescent="0.2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</row>
    <row r="63" spans="1:22" ht="12.75" customHeight="1" x14ac:dyDescent="0.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</row>
    <row r="64" spans="1:22" ht="12.75" customHeight="1" x14ac:dyDescent="0.2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</row>
    <row r="65" spans="1:22" ht="12.75" customHeight="1" x14ac:dyDescent="0.2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</row>
    <row r="66" spans="1:22" ht="12.75" customHeight="1" x14ac:dyDescent="0.2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</row>
    <row r="67" spans="1:22" ht="12.75" customHeight="1" x14ac:dyDescent="0.2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</row>
    <row r="68" spans="1:22" ht="12.75" customHeight="1" x14ac:dyDescent="0.2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</row>
    <row r="69" spans="1:22" ht="12.75" customHeight="1" x14ac:dyDescent="0.2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</row>
    <row r="70" spans="1:22" ht="12.75" customHeight="1" x14ac:dyDescent="0.2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</row>
    <row r="71" spans="1:22" ht="12.75" customHeight="1" x14ac:dyDescent="0.2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</row>
    <row r="72" spans="1:22" ht="12.75" customHeight="1" x14ac:dyDescent="0.2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</row>
    <row r="73" spans="1:22" ht="12.75" customHeight="1" x14ac:dyDescent="0.2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</row>
    <row r="74" spans="1:22" ht="12.75" customHeight="1" x14ac:dyDescent="0.2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</row>
    <row r="75" spans="1:22" ht="12.75" customHeight="1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</row>
    <row r="76" spans="1:22" ht="12.75" customHeight="1" x14ac:dyDescent="0.2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</row>
    <row r="77" spans="1:22" ht="12.75" customHeight="1" x14ac:dyDescent="0.2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</row>
    <row r="78" spans="1:22" ht="12.75" customHeight="1" x14ac:dyDescent="0.2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</row>
    <row r="79" spans="1:22" ht="12.75" customHeight="1" x14ac:dyDescent="0.2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</row>
    <row r="80" spans="1:22" ht="12.75" customHeight="1" x14ac:dyDescent="0.2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</row>
    <row r="81" spans="1:22" ht="12.75" customHeight="1" x14ac:dyDescent="0.2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</row>
    <row r="82" spans="1:22" ht="12.75" customHeight="1" x14ac:dyDescent="0.2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</row>
    <row r="83" spans="1:22" ht="12.75" customHeight="1" x14ac:dyDescent="0.2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</row>
    <row r="84" spans="1:22" ht="12.75" customHeight="1" x14ac:dyDescent="0.2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</row>
    <row r="85" spans="1:22" ht="12.75" customHeight="1" x14ac:dyDescent="0.2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</row>
    <row r="86" spans="1:22" ht="12.75" customHeight="1" x14ac:dyDescent="0.2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</row>
    <row r="87" spans="1:22" ht="12.75" customHeight="1" x14ac:dyDescent="0.2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</row>
    <row r="88" spans="1:22" ht="12.75" customHeight="1" x14ac:dyDescent="0.2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</row>
    <row r="89" spans="1:22" ht="12.75" customHeight="1" x14ac:dyDescent="0.2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</row>
    <row r="90" spans="1:22" ht="12.75" customHeight="1" x14ac:dyDescent="0.2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</row>
    <row r="91" spans="1:22" ht="12.75" customHeight="1" x14ac:dyDescent="0.2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</row>
    <row r="92" spans="1:22" ht="12.75" customHeight="1" x14ac:dyDescent="0.2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</row>
    <row r="93" spans="1:22" ht="12.75" customHeight="1" x14ac:dyDescent="0.2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</row>
    <row r="94" spans="1:22" ht="12.75" customHeight="1" x14ac:dyDescent="0.2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</row>
    <row r="95" spans="1:22" ht="12.75" customHeight="1" x14ac:dyDescent="0.2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</row>
    <row r="96" spans="1:22" ht="12.75" customHeight="1" x14ac:dyDescent="0.2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</row>
    <row r="97" spans="1:22" ht="12.75" customHeight="1" x14ac:dyDescent="0.2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</row>
    <row r="98" spans="1:22" ht="12.75" customHeight="1" x14ac:dyDescent="0.2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</row>
    <row r="99" spans="1:22" ht="12.75" customHeight="1" x14ac:dyDescent="0.2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</row>
    <row r="100" spans="1:22" ht="12.75" customHeight="1" x14ac:dyDescent="0.2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</row>
    <row r="101" spans="1:22" ht="12.75" customHeight="1" x14ac:dyDescent="0.2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</row>
    <row r="102" spans="1:22" ht="12.75" customHeight="1" x14ac:dyDescent="0.2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</row>
    <row r="103" spans="1:22" ht="12.75" customHeight="1" x14ac:dyDescent="0.2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</row>
    <row r="104" spans="1:22" ht="12.75" customHeight="1" x14ac:dyDescent="0.2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</row>
    <row r="105" spans="1:22" ht="12.75" customHeight="1" x14ac:dyDescent="0.2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</row>
    <row r="106" spans="1:22" ht="12.75" customHeight="1" x14ac:dyDescent="0.2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</row>
    <row r="107" spans="1:22" ht="12.75" customHeight="1" x14ac:dyDescent="0.2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</row>
    <row r="108" spans="1:22" ht="12.75" customHeight="1" x14ac:dyDescent="0.2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</row>
    <row r="109" spans="1:22" ht="12.75" customHeight="1" x14ac:dyDescent="0.2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</row>
    <row r="110" spans="1:22" ht="12.75" customHeight="1" x14ac:dyDescent="0.2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</row>
    <row r="111" spans="1:22" ht="12.75" customHeight="1" x14ac:dyDescent="0.2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</row>
    <row r="112" spans="1:22" ht="12.75" customHeight="1" x14ac:dyDescent="0.2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</row>
    <row r="113" spans="1:22" ht="12.75" customHeight="1" x14ac:dyDescent="0.2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</row>
    <row r="114" spans="1:22" ht="12.75" customHeight="1" x14ac:dyDescent="0.2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</row>
    <row r="115" spans="1:22" ht="12.75" customHeight="1" x14ac:dyDescent="0.2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</row>
    <row r="116" spans="1:22" ht="12.75" customHeight="1" x14ac:dyDescent="0.2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</row>
    <row r="117" spans="1:22" ht="12.75" customHeight="1" x14ac:dyDescent="0.2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</row>
    <row r="118" spans="1:22" ht="12.75" customHeight="1" x14ac:dyDescent="0.2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</row>
    <row r="119" spans="1:22" ht="12.75" customHeight="1" x14ac:dyDescent="0.2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</row>
    <row r="120" spans="1:22" ht="12.75" customHeight="1" x14ac:dyDescent="0.2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</row>
    <row r="121" spans="1:22" ht="12.75" customHeight="1" x14ac:dyDescent="0.2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</row>
    <row r="122" spans="1:22" ht="12.75" customHeight="1" x14ac:dyDescent="0.2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</row>
    <row r="123" spans="1:22" ht="12.75" customHeight="1" x14ac:dyDescent="0.2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</row>
    <row r="124" spans="1:22" ht="12.75" customHeight="1" x14ac:dyDescent="0.2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</row>
    <row r="125" spans="1:22" ht="12.75" customHeight="1" x14ac:dyDescent="0.2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</row>
    <row r="126" spans="1:22" ht="12.75" customHeight="1" x14ac:dyDescent="0.2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</row>
    <row r="127" spans="1:22" ht="12.75" customHeight="1" x14ac:dyDescent="0.2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</row>
    <row r="128" spans="1:22" ht="12.75" customHeight="1" x14ac:dyDescent="0.2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</row>
    <row r="129" spans="1:22" ht="12.75" customHeight="1" x14ac:dyDescent="0.2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</row>
    <row r="130" spans="1:22" ht="12.75" customHeight="1" x14ac:dyDescent="0.2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</row>
    <row r="131" spans="1:22" ht="12.75" customHeight="1" x14ac:dyDescent="0.2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</row>
    <row r="132" spans="1:22" ht="12.75" customHeight="1" x14ac:dyDescent="0.2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</row>
    <row r="133" spans="1:22" ht="12.75" customHeight="1" x14ac:dyDescent="0.2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</row>
    <row r="134" spans="1:22" ht="12.75" customHeight="1" x14ac:dyDescent="0.2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</row>
    <row r="135" spans="1:22" ht="12.75" customHeight="1" x14ac:dyDescent="0.2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</row>
    <row r="136" spans="1:22" ht="12.75" customHeight="1" x14ac:dyDescent="0.2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</row>
    <row r="137" spans="1:22" ht="12.75" customHeight="1" x14ac:dyDescent="0.2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</row>
    <row r="138" spans="1:22" ht="12.75" customHeight="1" x14ac:dyDescent="0.2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</row>
    <row r="139" spans="1:22" ht="12.75" customHeight="1" x14ac:dyDescent="0.2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</row>
    <row r="140" spans="1:22" ht="12.75" customHeight="1" x14ac:dyDescent="0.2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</row>
    <row r="141" spans="1:22" ht="12.75" customHeight="1" x14ac:dyDescent="0.2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</row>
    <row r="142" spans="1:22" ht="12.75" customHeight="1" x14ac:dyDescent="0.2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</row>
    <row r="143" spans="1:22" ht="12.75" customHeight="1" x14ac:dyDescent="0.2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</row>
    <row r="144" spans="1:22" ht="12.75" customHeight="1" x14ac:dyDescent="0.2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</row>
    <row r="145" spans="1:22" ht="12.75" customHeight="1" x14ac:dyDescent="0.2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</row>
    <row r="146" spans="1:22" ht="12.75" customHeight="1" x14ac:dyDescent="0.2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</row>
    <row r="147" spans="1:22" ht="12.75" customHeight="1" x14ac:dyDescent="0.2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</row>
    <row r="148" spans="1:22" ht="12.75" customHeight="1" x14ac:dyDescent="0.2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</row>
    <row r="149" spans="1:22" ht="12.75" customHeight="1" x14ac:dyDescent="0.2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</row>
    <row r="150" spans="1:22" ht="12.75" customHeight="1" x14ac:dyDescent="0.2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</row>
    <row r="151" spans="1:22" ht="12.75" customHeight="1" x14ac:dyDescent="0.2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</row>
    <row r="152" spans="1:22" ht="12.75" customHeight="1" x14ac:dyDescent="0.2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</row>
    <row r="153" spans="1:22" ht="12.75" customHeight="1" x14ac:dyDescent="0.2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</row>
    <row r="154" spans="1:22" ht="12.75" customHeight="1" x14ac:dyDescent="0.2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</row>
    <row r="155" spans="1:22" ht="12.75" customHeight="1" x14ac:dyDescent="0.2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</row>
    <row r="156" spans="1:22" ht="12.75" customHeight="1" x14ac:dyDescent="0.2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</row>
    <row r="157" spans="1:22" ht="12.75" customHeight="1" x14ac:dyDescent="0.2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</row>
    <row r="158" spans="1:22" ht="12.75" customHeight="1" x14ac:dyDescent="0.2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</row>
    <row r="159" spans="1:22" ht="12.75" customHeight="1" x14ac:dyDescent="0.2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</row>
    <row r="160" spans="1:22" ht="12.75" customHeight="1" x14ac:dyDescent="0.2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</row>
    <row r="161" spans="1:22" ht="12.75" customHeight="1" x14ac:dyDescent="0.2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</row>
    <row r="162" spans="1:22" ht="12.75" customHeight="1" x14ac:dyDescent="0.2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</row>
    <row r="163" spans="1:22" ht="12.75" customHeight="1" x14ac:dyDescent="0.2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</row>
    <row r="164" spans="1:22" ht="12.75" customHeight="1" x14ac:dyDescent="0.2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</row>
    <row r="165" spans="1:22" ht="12.75" customHeight="1" x14ac:dyDescent="0.2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</row>
    <row r="166" spans="1:22" ht="12.75" customHeight="1" x14ac:dyDescent="0.2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</row>
    <row r="167" spans="1:22" ht="12.75" customHeight="1" x14ac:dyDescent="0.2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</row>
    <row r="168" spans="1:22" ht="12.75" customHeight="1" x14ac:dyDescent="0.2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</row>
    <row r="169" spans="1:22" ht="12.75" customHeight="1" x14ac:dyDescent="0.2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</row>
    <row r="170" spans="1:22" ht="12.75" customHeight="1" x14ac:dyDescent="0.2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</row>
    <row r="171" spans="1:22" ht="12.75" customHeight="1" x14ac:dyDescent="0.2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</row>
    <row r="172" spans="1:22" ht="12.75" customHeight="1" x14ac:dyDescent="0.2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</row>
    <row r="173" spans="1:22" ht="12.75" customHeight="1" x14ac:dyDescent="0.2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</row>
    <row r="174" spans="1:22" ht="12.75" customHeight="1" x14ac:dyDescent="0.2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</row>
    <row r="175" spans="1:22" ht="12.75" customHeight="1" x14ac:dyDescent="0.2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</row>
    <row r="176" spans="1:22" ht="12.75" customHeight="1" x14ac:dyDescent="0.2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</row>
    <row r="177" spans="1:22" ht="12.75" customHeight="1" x14ac:dyDescent="0.2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</row>
    <row r="178" spans="1:22" ht="12.75" customHeight="1" x14ac:dyDescent="0.2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</row>
    <row r="179" spans="1:22" ht="12.75" customHeight="1" x14ac:dyDescent="0.2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</row>
    <row r="180" spans="1:22" ht="12.75" customHeight="1" x14ac:dyDescent="0.2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</row>
    <row r="181" spans="1:22" ht="12.75" customHeight="1" x14ac:dyDescent="0.2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</row>
    <row r="182" spans="1:22" ht="12.75" customHeight="1" x14ac:dyDescent="0.2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</row>
    <row r="183" spans="1:22" ht="12.75" customHeight="1" x14ac:dyDescent="0.2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</row>
    <row r="184" spans="1:22" ht="12.75" customHeight="1" x14ac:dyDescent="0.2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</row>
    <row r="185" spans="1:22" ht="12.75" customHeight="1" x14ac:dyDescent="0.2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</row>
    <row r="186" spans="1:22" ht="12.75" customHeight="1" x14ac:dyDescent="0.2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</row>
    <row r="187" spans="1:22" ht="12.75" customHeight="1" x14ac:dyDescent="0.2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</row>
    <row r="188" spans="1:22" ht="12.75" customHeight="1" x14ac:dyDescent="0.2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</row>
    <row r="189" spans="1:22" ht="12.75" customHeight="1" x14ac:dyDescent="0.2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</row>
    <row r="190" spans="1:22" ht="12.75" customHeight="1" x14ac:dyDescent="0.2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</row>
    <row r="191" spans="1:22" ht="12.75" customHeight="1" x14ac:dyDescent="0.2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</row>
    <row r="192" spans="1:22" ht="12.75" customHeight="1" x14ac:dyDescent="0.2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</row>
    <row r="193" spans="1:22" ht="12.75" customHeight="1" x14ac:dyDescent="0.2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</row>
    <row r="194" spans="1:22" ht="12.75" customHeight="1" x14ac:dyDescent="0.2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</row>
    <row r="195" spans="1:22" ht="12.75" customHeight="1" x14ac:dyDescent="0.2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</row>
    <row r="196" spans="1:22" ht="12.75" customHeight="1" x14ac:dyDescent="0.2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</row>
    <row r="197" spans="1:22" ht="12.75" customHeight="1" x14ac:dyDescent="0.2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</row>
    <row r="198" spans="1:22" ht="12.75" customHeight="1" x14ac:dyDescent="0.2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</row>
    <row r="199" spans="1:22" ht="12.75" customHeight="1" x14ac:dyDescent="0.2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</row>
    <row r="200" spans="1:22" ht="12.75" customHeight="1" x14ac:dyDescent="0.2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</row>
    <row r="201" spans="1:22" ht="12.75" customHeight="1" x14ac:dyDescent="0.2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</row>
    <row r="202" spans="1:22" ht="12.75" customHeight="1" x14ac:dyDescent="0.2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</row>
    <row r="203" spans="1:22" ht="12.75" customHeight="1" x14ac:dyDescent="0.2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</row>
    <row r="204" spans="1:22" ht="12.75" customHeight="1" x14ac:dyDescent="0.2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</row>
    <row r="205" spans="1:22" ht="12.75" customHeight="1" x14ac:dyDescent="0.2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</row>
    <row r="206" spans="1:22" ht="12.75" customHeight="1" x14ac:dyDescent="0.2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</row>
    <row r="207" spans="1:22" ht="12.75" customHeight="1" x14ac:dyDescent="0.2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</row>
    <row r="208" spans="1:22" ht="12.75" customHeight="1" x14ac:dyDescent="0.2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</row>
    <row r="209" spans="1:22" ht="12.75" customHeight="1" x14ac:dyDescent="0.2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</row>
    <row r="210" spans="1:22" ht="12.75" customHeight="1" x14ac:dyDescent="0.2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</row>
    <row r="211" spans="1:22" ht="12.75" customHeight="1" x14ac:dyDescent="0.2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</row>
    <row r="212" spans="1:22" ht="12.75" customHeight="1" x14ac:dyDescent="0.2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</row>
    <row r="213" spans="1:22" ht="12.75" customHeight="1" x14ac:dyDescent="0.2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</row>
    <row r="214" spans="1:22" ht="12.75" customHeight="1" x14ac:dyDescent="0.2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</row>
    <row r="215" spans="1:22" ht="12.75" customHeight="1" x14ac:dyDescent="0.2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</row>
    <row r="216" spans="1:22" ht="12.75" customHeight="1" x14ac:dyDescent="0.2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</row>
    <row r="217" spans="1:22" ht="12.75" customHeight="1" x14ac:dyDescent="0.2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</row>
    <row r="218" spans="1:22" ht="12.75" customHeight="1" x14ac:dyDescent="0.2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</row>
    <row r="219" spans="1:22" ht="12.75" customHeight="1" x14ac:dyDescent="0.2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</row>
    <row r="220" spans="1:22" ht="12.75" customHeight="1" x14ac:dyDescent="0.2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</row>
    <row r="221" spans="1:22" ht="12.75" customHeight="1" x14ac:dyDescent="0.2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</row>
    <row r="222" spans="1:22" ht="12.75" customHeight="1" x14ac:dyDescent="0.2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</row>
    <row r="223" spans="1:22" ht="12.75" customHeight="1" x14ac:dyDescent="0.2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</row>
    <row r="224" spans="1:22" ht="12.75" customHeight="1" x14ac:dyDescent="0.2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</row>
    <row r="225" spans="1:22" ht="12.75" customHeight="1" x14ac:dyDescent="0.2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</row>
    <row r="226" spans="1:22" ht="12.75" customHeight="1" x14ac:dyDescent="0.2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</row>
    <row r="227" spans="1:22" ht="12.75" customHeight="1" x14ac:dyDescent="0.2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</row>
    <row r="228" spans="1:22" ht="12.75" customHeight="1" x14ac:dyDescent="0.2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</row>
    <row r="229" spans="1:22" ht="12.75" customHeight="1" x14ac:dyDescent="0.2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</row>
    <row r="230" spans="1:22" ht="12.75" customHeight="1" x14ac:dyDescent="0.2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</row>
    <row r="231" spans="1:22" ht="12.75" customHeight="1" x14ac:dyDescent="0.2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</row>
    <row r="232" spans="1:22" ht="15.75" customHeight="1" x14ac:dyDescent="0.2"/>
    <row r="233" spans="1:22" ht="15.75" customHeight="1" x14ac:dyDescent="0.2"/>
    <row r="234" spans="1:22" ht="15.75" customHeight="1" x14ac:dyDescent="0.2"/>
    <row r="235" spans="1:22" ht="15.75" customHeight="1" x14ac:dyDescent="0.2"/>
    <row r="236" spans="1:22" ht="15.75" customHeight="1" x14ac:dyDescent="0.2"/>
    <row r="237" spans="1:22" ht="15.75" customHeight="1" x14ac:dyDescent="0.2"/>
    <row r="238" spans="1:22" ht="15.75" customHeight="1" x14ac:dyDescent="0.2"/>
    <row r="239" spans="1:22" ht="15.75" customHeight="1" x14ac:dyDescent="0.2"/>
    <row r="240" spans="1:2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2">
    <mergeCell ref="A1:B1"/>
    <mergeCell ref="A3:B3"/>
  </mergeCells>
  <pageMargins left="0.90551181102362199" right="0.51181102362204722" top="0.74803149606299213" bottom="0.74803149606299213" header="0" footer="0"/>
  <pageSetup paperSize="9" scale="9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ColWidth="12.5703125" defaultRowHeight="15" customHeight="1" x14ac:dyDescent="0.2"/>
  <cols>
    <col min="1" max="1" width="41.85546875" customWidth="1"/>
    <col min="2" max="2" width="5.5703125" customWidth="1"/>
    <col min="3" max="3" width="8.5703125" customWidth="1"/>
    <col min="4" max="4" width="9.7109375" customWidth="1"/>
    <col min="5" max="5" width="8" customWidth="1"/>
    <col min="6" max="6" width="9.7109375" customWidth="1"/>
    <col min="7" max="26" width="8.5703125" customWidth="1"/>
  </cols>
  <sheetData>
    <row r="1" spans="1:8" ht="15" customHeight="1" x14ac:dyDescent="0.2">
      <c r="A1" s="293" t="s">
        <v>296</v>
      </c>
      <c r="B1" s="273"/>
      <c r="C1" s="273"/>
      <c r="D1" s="273"/>
      <c r="E1" s="273"/>
      <c r="F1" s="274"/>
    </row>
    <row r="2" spans="1:8" ht="15" customHeight="1" x14ac:dyDescent="0.2">
      <c r="A2" s="217"/>
      <c r="B2" s="218"/>
      <c r="C2" s="218"/>
      <c r="D2" s="218"/>
      <c r="E2" s="218"/>
      <c r="F2" s="219"/>
    </row>
    <row r="3" spans="1:8" ht="15" customHeight="1" x14ac:dyDescent="0.25">
      <c r="A3" s="220"/>
      <c r="B3" s="5"/>
      <c r="C3" s="5"/>
      <c r="D3" s="294" t="s">
        <v>297</v>
      </c>
      <c r="E3" s="288"/>
      <c r="F3" s="289"/>
      <c r="G3" s="165"/>
      <c r="H3" s="165"/>
    </row>
    <row r="4" spans="1:8" ht="15" customHeight="1" x14ac:dyDescent="0.2">
      <c r="A4" s="207"/>
      <c r="B4" s="165"/>
      <c r="C4" s="165"/>
      <c r="D4" s="221" t="s">
        <v>298</v>
      </c>
      <c r="E4" s="222" t="s">
        <v>299</v>
      </c>
      <c r="F4" s="223" t="s">
        <v>300</v>
      </c>
      <c r="G4" s="165"/>
      <c r="H4" s="165"/>
    </row>
    <row r="5" spans="1:8" ht="15" customHeight="1" x14ac:dyDescent="0.2">
      <c r="A5" s="224" t="s">
        <v>301</v>
      </c>
      <c r="B5" s="225" t="s">
        <v>302</v>
      </c>
      <c r="C5" s="226">
        <v>0.03</v>
      </c>
      <c r="D5" s="227">
        <v>2.9700000000000001E-2</v>
      </c>
      <c r="E5" s="228">
        <v>5.0799999999999998E-2</v>
      </c>
      <c r="F5" s="229">
        <v>6.2700000000000006E-2</v>
      </c>
      <c r="G5" s="165"/>
      <c r="H5" s="165"/>
    </row>
    <row r="6" spans="1:8" ht="15" customHeight="1" x14ac:dyDescent="0.2">
      <c r="A6" s="230" t="s">
        <v>303</v>
      </c>
      <c r="B6" s="231" t="s">
        <v>304</v>
      </c>
      <c r="C6" s="232">
        <v>8.6E-3</v>
      </c>
      <c r="D6" s="227">
        <f>0.3%+0.56%</f>
        <v>8.6E-3</v>
      </c>
      <c r="E6" s="228">
        <f>0.48%+0.85%</f>
        <v>1.3299999999999999E-2</v>
      </c>
      <c r="F6" s="229">
        <f>0.82%+0.89%</f>
        <v>1.7099999999999997E-2</v>
      </c>
      <c r="G6" s="165"/>
      <c r="H6" s="165"/>
    </row>
    <row r="7" spans="1:8" ht="15" customHeight="1" x14ac:dyDescent="0.2">
      <c r="A7" s="230" t="s">
        <v>305</v>
      </c>
      <c r="B7" s="231" t="s">
        <v>306</v>
      </c>
      <c r="C7" s="232">
        <v>0.1</v>
      </c>
      <c r="D7" s="227">
        <v>7.7799999999999994E-2</v>
      </c>
      <c r="E7" s="228">
        <v>0.1085</v>
      </c>
      <c r="F7" s="229">
        <v>0.13550000000000001</v>
      </c>
      <c r="G7" s="165"/>
      <c r="H7" s="165"/>
    </row>
    <row r="8" spans="1:8" ht="15" customHeight="1" x14ac:dyDescent="0.2">
      <c r="A8" s="230" t="s">
        <v>307</v>
      </c>
      <c r="B8" s="231" t="s">
        <v>308</v>
      </c>
      <c r="C8" s="233">
        <f>(1+E8)^(E9/252)-1</f>
        <v>6.6775265150060825E-3</v>
      </c>
      <c r="D8" s="227" t="s">
        <v>309</v>
      </c>
      <c r="E8" s="234">
        <v>0.15</v>
      </c>
      <c r="F8" s="235"/>
      <c r="G8" s="165"/>
      <c r="H8" s="165"/>
    </row>
    <row r="9" spans="1:8" ht="15" customHeight="1" x14ac:dyDescent="0.2">
      <c r="A9" s="230" t="s">
        <v>310</v>
      </c>
      <c r="B9" s="295" t="s">
        <v>311</v>
      </c>
      <c r="C9" s="232">
        <v>0.03</v>
      </c>
      <c r="D9" s="236" t="s">
        <v>312</v>
      </c>
      <c r="E9" s="237">
        <v>12</v>
      </c>
      <c r="F9" s="206"/>
      <c r="G9" s="165"/>
      <c r="H9" s="165"/>
    </row>
    <row r="10" spans="1:8" ht="15" customHeight="1" x14ac:dyDescent="0.2">
      <c r="A10" s="238" t="s">
        <v>313</v>
      </c>
      <c r="B10" s="296"/>
      <c r="C10" s="239">
        <v>9.2499999999999999E-2</v>
      </c>
      <c r="D10" s="199"/>
      <c r="E10" s="240"/>
      <c r="F10" s="206"/>
      <c r="G10" s="165"/>
      <c r="H10" s="165"/>
    </row>
    <row r="11" spans="1:8" ht="15" customHeight="1" x14ac:dyDescent="0.2">
      <c r="A11" s="241" t="s">
        <v>314</v>
      </c>
      <c r="B11" s="242"/>
      <c r="C11" s="243"/>
      <c r="D11" s="199"/>
      <c r="E11" s="240"/>
      <c r="F11" s="206"/>
      <c r="G11" s="165"/>
      <c r="H11" s="165"/>
    </row>
    <row r="12" spans="1:8" ht="15" customHeight="1" x14ac:dyDescent="0.2">
      <c r="A12" s="244" t="s">
        <v>315</v>
      </c>
      <c r="B12" s="245"/>
      <c r="C12" s="246"/>
      <c r="D12" s="199"/>
      <c r="E12" s="240"/>
      <c r="F12" s="206"/>
      <c r="G12" s="165"/>
      <c r="H12" s="165"/>
    </row>
    <row r="13" spans="1:8" ht="15" customHeight="1" x14ac:dyDescent="0.2">
      <c r="A13" s="247" t="s">
        <v>316</v>
      </c>
      <c r="B13" s="248"/>
      <c r="C13" s="249">
        <f>ROUND((((1+C5+C6)*(1+C7)*(1+C8))/(1-(C9+C10))-1),4)</f>
        <v>0.31059999999999999</v>
      </c>
      <c r="D13" s="250">
        <v>0.21429999999999999</v>
      </c>
      <c r="E13" s="251">
        <v>0.2717</v>
      </c>
      <c r="F13" s="252">
        <v>0.3362</v>
      </c>
      <c r="G13" s="165"/>
      <c r="H13" s="165"/>
    </row>
    <row r="14" spans="1:8" ht="12.75" customHeight="1" x14ac:dyDescent="0.2">
      <c r="A14" s="165"/>
      <c r="B14" s="165"/>
      <c r="C14" s="165"/>
      <c r="D14" s="165"/>
      <c r="E14" s="253"/>
      <c r="F14" s="165"/>
      <c r="G14" s="165"/>
      <c r="H14" s="165"/>
    </row>
    <row r="15" spans="1:8" ht="12.75" customHeight="1" x14ac:dyDescent="0.2">
      <c r="A15" s="165"/>
      <c r="B15" s="165"/>
      <c r="C15" s="165"/>
      <c r="D15" s="165"/>
      <c r="E15" s="253"/>
      <c r="F15" s="165"/>
      <c r="G15" s="165"/>
      <c r="H15" s="165"/>
    </row>
    <row r="16" spans="1:8" ht="15.75" customHeight="1" x14ac:dyDescent="0.2"/>
    <row r="17" ht="15.75" customHeight="1" x14ac:dyDescent="0.2"/>
  </sheetData>
  <mergeCells count="3">
    <mergeCell ref="A1:F1"/>
    <mergeCell ref="D3:F3"/>
    <mergeCell ref="B9:B10"/>
  </mergeCells>
  <pageMargins left="0.90551181102362199" right="0" top="0.74803149606299213" bottom="0.74803149606299213" header="0" footer="0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/>
  </sheetViews>
  <sheetFormatPr defaultColWidth="12.5703125" defaultRowHeight="15" customHeight="1" x14ac:dyDescent="0.2"/>
  <cols>
    <col min="1" max="1" width="24.5703125" customWidth="1"/>
    <col min="2" max="2" width="20.85546875" customWidth="1"/>
    <col min="3" max="22" width="9.140625" customWidth="1"/>
  </cols>
  <sheetData>
    <row r="1" spans="1:22" ht="15" customHeight="1" x14ac:dyDescent="0.2">
      <c r="A1" s="297" t="s">
        <v>317</v>
      </c>
      <c r="B1" s="279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</row>
    <row r="2" spans="1:22" ht="15" customHeight="1" x14ac:dyDescent="0.2">
      <c r="A2" s="254" t="s">
        <v>318</v>
      </c>
      <c r="B2" s="255" t="s">
        <v>319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1:22" ht="15" customHeight="1" x14ac:dyDescent="0.2">
      <c r="A3" s="256">
        <v>1</v>
      </c>
      <c r="B3" s="257">
        <v>33.629999999999995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</row>
    <row r="4" spans="1:22" ht="15" customHeight="1" x14ac:dyDescent="0.2">
      <c r="A4" s="256">
        <v>2</v>
      </c>
      <c r="B4" s="257">
        <v>43.13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</row>
    <row r="5" spans="1:22" ht="15" customHeight="1" x14ac:dyDescent="0.2">
      <c r="A5" s="256">
        <v>3</v>
      </c>
      <c r="B5" s="257">
        <v>48.68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6" spans="1:22" ht="15" customHeight="1" x14ac:dyDescent="0.2">
      <c r="A6" s="256">
        <v>4</v>
      </c>
      <c r="B6" s="257">
        <v>52.62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</row>
    <row r="7" spans="1:22" ht="15" customHeight="1" x14ac:dyDescent="0.2">
      <c r="A7" s="256">
        <v>5</v>
      </c>
      <c r="B7" s="257">
        <v>55.679999999999993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</row>
    <row r="8" spans="1:22" ht="15" customHeight="1" x14ac:dyDescent="0.2">
      <c r="A8" s="256">
        <v>6</v>
      </c>
      <c r="B8" s="257">
        <v>58.18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</row>
    <row r="9" spans="1:22" ht="15" customHeight="1" x14ac:dyDescent="0.2">
      <c r="A9" s="256">
        <v>7</v>
      </c>
      <c r="B9" s="257">
        <v>60.29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</row>
    <row r="10" spans="1:22" ht="15" customHeight="1" x14ac:dyDescent="0.2">
      <c r="A10" s="256">
        <v>8</v>
      </c>
      <c r="B10" s="257">
        <v>62.12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</row>
    <row r="11" spans="1:22" ht="15" customHeight="1" x14ac:dyDescent="0.2">
      <c r="A11" s="256">
        <v>9</v>
      </c>
      <c r="B11" s="257">
        <v>63.73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</row>
    <row r="12" spans="1:22" ht="15" customHeight="1" x14ac:dyDescent="0.2">
      <c r="A12" s="256">
        <v>10</v>
      </c>
      <c r="B12" s="257">
        <v>65.180000000000007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</row>
    <row r="13" spans="1:22" ht="15" customHeight="1" x14ac:dyDescent="0.2">
      <c r="A13" s="256">
        <v>11</v>
      </c>
      <c r="B13" s="257">
        <v>66.47999999999999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</row>
    <row r="14" spans="1:22" ht="15" customHeight="1" x14ac:dyDescent="0.2">
      <c r="A14" s="256">
        <v>12</v>
      </c>
      <c r="B14" s="257">
        <v>67.67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</row>
    <row r="15" spans="1:22" ht="15" customHeight="1" x14ac:dyDescent="0.2">
      <c r="A15" s="256">
        <v>13</v>
      </c>
      <c r="B15" s="257">
        <v>68.77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</row>
    <row r="16" spans="1:22" ht="15" customHeight="1" x14ac:dyDescent="0.2">
      <c r="A16" s="256">
        <v>14</v>
      </c>
      <c r="B16" s="257">
        <v>69.789999999999992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</row>
    <row r="17" spans="1:22" ht="15" customHeight="1" x14ac:dyDescent="0.2">
      <c r="A17" s="258">
        <v>15</v>
      </c>
      <c r="B17" s="259">
        <v>70.73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9.5" customHeight="1" x14ac:dyDescent="0.2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</row>
    <row r="19" spans="1:22" ht="19.5" customHeight="1" x14ac:dyDescent="0.2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</row>
    <row r="20" spans="1:22" ht="19.5" customHeight="1" x14ac:dyDescent="0.2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</row>
    <row r="21" spans="1:22" ht="19.5" customHeight="1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</row>
    <row r="22" spans="1:22" ht="19.5" customHeight="1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</row>
    <row r="23" spans="1:22" ht="19.5" customHeight="1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</row>
    <row r="24" spans="1:22" ht="19.5" customHeight="1" x14ac:dyDescent="0.2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</row>
    <row r="25" spans="1:22" ht="19.5" customHeight="1" x14ac:dyDescent="0.2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</row>
    <row r="26" spans="1:22" ht="19.5" customHeight="1" x14ac:dyDescent="0.2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</row>
    <row r="27" spans="1:22" ht="19.5" customHeight="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</row>
    <row r="28" spans="1:22" ht="19.5" customHeight="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</row>
    <row r="29" spans="1:22" ht="19.5" customHeight="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</row>
    <row r="30" spans="1:22" ht="19.5" customHeight="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</row>
    <row r="31" spans="1:22" ht="19.5" customHeight="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</row>
    <row r="32" spans="1:22" ht="19.5" customHeight="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</row>
    <row r="33" spans="1:22" ht="19.5" customHeight="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</row>
    <row r="34" spans="1:22" ht="19.5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</row>
    <row r="35" spans="1:22" ht="19.5" customHeight="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</row>
    <row r="36" spans="1:22" ht="19.5" customHeight="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</row>
    <row r="37" spans="1:22" ht="19.5" customHeight="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</row>
    <row r="38" spans="1:22" ht="19.5" customHeight="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</row>
    <row r="39" spans="1:22" ht="19.5" customHeight="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</row>
    <row r="40" spans="1:22" ht="19.5" customHeight="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</row>
    <row r="41" spans="1:22" ht="19.5" customHeight="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</row>
    <row r="42" spans="1:22" ht="19.5" customHeight="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</row>
    <row r="43" spans="1:22" ht="19.5" customHeight="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</row>
    <row r="44" spans="1:22" ht="19.5" customHeight="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</row>
    <row r="45" spans="1:22" ht="19.5" customHeight="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</row>
    <row r="46" spans="1:22" ht="19.5" customHeight="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</row>
    <row r="47" spans="1:22" ht="19.5" customHeight="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</row>
    <row r="48" spans="1:22" ht="19.5" customHeight="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</row>
    <row r="49" spans="1:22" ht="19.5" customHeight="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</row>
    <row r="50" spans="1:22" ht="19.5" customHeight="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</row>
    <row r="51" spans="1:22" ht="19.5" customHeight="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</row>
    <row r="52" spans="1:22" ht="19.5" customHeight="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 spans="1:22" ht="19.5" customHeight="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</row>
    <row r="54" spans="1:22" ht="19.5" customHeight="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</row>
    <row r="55" spans="1:22" ht="19.5" customHeight="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</row>
    <row r="56" spans="1:22" ht="19.5" customHeight="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</row>
    <row r="57" spans="1:22" ht="19.5" customHeight="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</row>
    <row r="58" spans="1:22" ht="19.5" customHeight="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</row>
    <row r="59" spans="1:22" ht="19.5" customHeight="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</row>
    <row r="60" spans="1:22" ht="19.5" customHeight="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</row>
    <row r="61" spans="1:22" ht="19.5" customHeight="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</row>
    <row r="62" spans="1:22" ht="19.5" customHeight="1" x14ac:dyDescent="0.2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</row>
    <row r="63" spans="1:22" ht="19.5" customHeight="1" x14ac:dyDescent="0.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</row>
    <row r="64" spans="1:22" ht="19.5" customHeight="1" x14ac:dyDescent="0.2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</row>
    <row r="65" spans="1:22" ht="19.5" customHeight="1" x14ac:dyDescent="0.2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</row>
    <row r="66" spans="1:22" ht="19.5" customHeight="1" x14ac:dyDescent="0.2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</row>
    <row r="67" spans="1:22" ht="19.5" customHeight="1" x14ac:dyDescent="0.2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</row>
    <row r="68" spans="1:22" ht="19.5" customHeight="1" x14ac:dyDescent="0.2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</row>
    <row r="69" spans="1:22" ht="19.5" customHeight="1" x14ac:dyDescent="0.2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</row>
    <row r="70" spans="1:22" ht="19.5" customHeight="1" x14ac:dyDescent="0.2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</row>
    <row r="71" spans="1:22" ht="19.5" customHeight="1" x14ac:dyDescent="0.2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</row>
    <row r="72" spans="1:22" ht="19.5" customHeight="1" x14ac:dyDescent="0.2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</row>
    <row r="73" spans="1:22" ht="19.5" customHeight="1" x14ac:dyDescent="0.2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</row>
    <row r="74" spans="1:22" ht="19.5" customHeight="1" x14ac:dyDescent="0.2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</row>
    <row r="75" spans="1:22" ht="19.5" customHeight="1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</row>
    <row r="76" spans="1:22" ht="19.5" customHeight="1" x14ac:dyDescent="0.2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</row>
    <row r="77" spans="1:22" ht="19.5" customHeight="1" x14ac:dyDescent="0.2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</row>
    <row r="78" spans="1:22" ht="19.5" customHeight="1" x14ac:dyDescent="0.2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</row>
    <row r="79" spans="1:22" ht="19.5" customHeight="1" x14ac:dyDescent="0.2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</row>
    <row r="80" spans="1:22" ht="19.5" customHeight="1" x14ac:dyDescent="0.2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</row>
    <row r="81" spans="1:22" ht="19.5" customHeight="1" x14ac:dyDescent="0.2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</row>
    <row r="82" spans="1:22" ht="19.5" customHeight="1" x14ac:dyDescent="0.2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</row>
    <row r="83" spans="1:22" ht="19.5" customHeight="1" x14ac:dyDescent="0.2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</row>
    <row r="84" spans="1:22" ht="19.5" customHeight="1" x14ac:dyDescent="0.2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</row>
    <row r="85" spans="1:22" ht="19.5" customHeight="1" x14ac:dyDescent="0.2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</row>
    <row r="86" spans="1:22" ht="19.5" customHeight="1" x14ac:dyDescent="0.2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</row>
    <row r="87" spans="1:22" ht="19.5" customHeight="1" x14ac:dyDescent="0.2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</row>
    <row r="88" spans="1:22" ht="19.5" customHeight="1" x14ac:dyDescent="0.2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</row>
    <row r="89" spans="1:22" ht="19.5" customHeight="1" x14ac:dyDescent="0.2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</row>
    <row r="90" spans="1:22" ht="19.5" customHeight="1" x14ac:dyDescent="0.2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</row>
    <row r="91" spans="1:22" ht="19.5" customHeight="1" x14ac:dyDescent="0.2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</row>
    <row r="92" spans="1:22" ht="19.5" customHeight="1" x14ac:dyDescent="0.2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</row>
    <row r="93" spans="1:22" ht="19.5" customHeight="1" x14ac:dyDescent="0.2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</row>
    <row r="94" spans="1:22" ht="19.5" customHeight="1" x14ac:dyDescent="0.2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</row>
    <row r="95" spans="1:22" ht="19.5" customHeight="1" x14ac:dyDescent="0.2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</row>
    <row r="96" spans="1:22" ht="19.5" customHeight="1" x14ac:dyDescent="0.2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</row>
    <row r="97" spans="1:22" ht="19.5" customHeight="1" x14ac:dyDescent="0.2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</row>
    <row r="98" spans="1:22" ht="19.5" customHeight="1" x14ac:dyDescent="0.2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</row>
    <row r="99" spans="1:22" ht="19.5" customHeight="1" x14ac:dyDescent="0.2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</row>
    <row r="100" spans="1:22" ht="19.5" customHeight="1" x14ac:dyDescent="0.2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</row>
    <row r="101" spans="1:22" ht="19.5" customHeight="1" x14ac:dyDescent="0.2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</row>
    <row r="102" spans="1:22" ht="19.5" customHeight="1" x14ac:dyDescent="0.2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</row>
    <row r="103" spans="1:22" ht="19.5" customHeight="1" x14ac:dyDescent="0.2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</row>
    <row r="104" spans="1:22" ht="19.5" customHeight="1" x14ac:dyDescent="0.2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</row>
    <row r="105" spans="1:22" ht="19.5" customHeight="1" x14ac:dyDescent="0.2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</row>
    <row r="106" spans="1:22" ht="19.5" customHeight="1" x14ac:dyDescent="0.2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</row>
    <row r="107" spans="1:22" ht="19.5" customHeight="1" x14ac:dyDescent="0.2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</row>
    <row r="108" spans="1:22" ht="19.5" customHeight="1" x14ac:dyDescent="0.2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</row>
    <row r="109" spans="1:22" ht="19.5" customHeight="1" x14ac:dyDescent="0.2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</row>
    <row r="110" spans="1:22" ht="19.5" customHeight="1" x14ac:dyDescent="0.2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</row>
    <row r="111" spans="1:22" ht="19.5" customHeight="1" x14ac:dyDescent="0.2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</row>
    <row r="112" spans="1:22" ht="19.5" customHeight="1" x14ac:dyDescent="0.2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</row>
    <row r="113" spans="1:22" ht="19.5" customHeight="1" x14ac:dyDescent="0.2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</row>
    <row r="114" spans="1:22" ht="19.5" customHeight="1" x14ac:dyDescent="0.2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</row>
    <row r="115" spans="1:22" ht="19.5" customHeight="1" x14ac:dyDescent="0.2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</row>
    <row r="116" spans="1:22" ht="19.5" customHeight="1" x14ac:dyDescent="0.2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</row>
    <row r="117" spans="1:22" ht="19.5" customHeight="1" x14ac:dyDescent="0.2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</row>
    <row r="118" spans="1:22" ht="19.5" customHeight="1" x14ac:dyDescent="0.2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</row>
    <row r="119" spans="1:22" ht="19.5" customHeight="1" x14ac:dyDescent="0.2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</row>
    <row r="120" spans="1:22" ht="19.5" customHeight="1" x14ac:dyDescent="0.2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</row>
    <row r="121" spans="1:22" ht="19.5" customHeight="1" x14ac:dyDescent="0.2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</row>
    <row r="122" spans="1:22" ht="19.5" customHeight="1" x14ac:dyDescent="0.2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</row>
    <row r="123" spans="1:22" ht="19.5" customHeight="1" x14ac:dyDescent="0.2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</row>
    <row r="124" spans="1:22" ht="19.5" customHeight="1" x14ac:dyDescent="0.2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</row>
    <row r="125" spans="1:22" ht="19.5" customHeight="1" x14ac:dyDescent="0.2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</row>
    <row r="126" spans="1:22" ht="19.5" customHeight="1" x14ac:dyDescent="0.2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</row>
    <row r="127" spans="1:22" ht="19.5" customHeight="1" x14ac:dyDescent="0.2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</row>
    <row r="128" spans="1:22" ht="19.5" customHeight="1" x14ac:dyDescent="0.2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</row>
    <row r="129" spans="1:22" ht="19.5" customHeight="1" x14ac:dyDescent="0.2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</row>
    <row r="130" spans="1:22" ht="19.5" customHeight="1" x14ac:dyDescent="0.2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</row>
    <row r="131" spans="1:22" ht="19.5" customHeight="1" x14ac:dyDescent="0.2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</row>
    <row r="132" spans="1:22" ht="19.5" customHeight="1" x14ac:dyDescent="0.2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</row>
    <row r="133" spans="1:22" ht="19.5" customHeight="1" x14ac:dyDescent="0.2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</row>
    <row r="134" spans="1:22" ht="19.5" customHeight="1" x14ac:dyDescent="0.2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</row>
    <row r="135" spans="1:22" ht="19.5" customHeight="1" x14ac:dyDescent="0.2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</row>
    <row r="136" spans="1:22" ht="19.5" customHeight="1" x14ac:dyDescent="0.2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</row>
    <row r="137" spans="1:22" ht="19.5" customHeight="1" x14ac:dyDescent="0.2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</row>
    <row r="138" spans="1:22" ht="19.5" customHeight="1" x14ac:dyDescent="0.2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</row>
    <row r="139" spans="1:22" ht="19.5" customHeight="1" x14ac:dyDescent="0.2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</row>
    <row r="140" spans="1:22" ht="19.5" customHeight="1" x14ac:dyDescent="0.2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</row>
    <row r="141" spans="1:22" ht="19.5" customHeight="1" x14ac:dyDescent="0.2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</row>
    <row r="142" spans="1:22" ht="19.5" customHeight="1" x14ac:dyDescent="0.2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</row>
    <row r="143" spans="1:22" ht="19.5" customHeight="1" x14ac:dyDescent="0.2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</row>
    <row r="144" spans="1:22" ht="19.5" customHeight="1" x14ac:dyDescent="0.2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</row>
    <row r="145" spans="1:22" ht="19.5" customHeight="1" x14ac:dyDescent="0.2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</row>
    <row r="146" spans="1:22" ht="19.5" customHeight="1" x14ac:dyDescent="0.2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</row>
    <row r="147" spans="1:22" ht="19.5" customHeight="1" x14ac:dyDescent="0.2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</row>
    <row r="148" spans="1:22" ht="19.5" customHeight="1" x14ac:dyDescent="0.2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</row>
    <row r="149" spans="1:22" ht="19.5" customHeight="1" x14ac:dyDescent="0.2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</row>
    <row r="150" spans="1:22" ht="19.5" customHeight="1" x14ac:dyDescent="0.2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</row>
    <row r="151" spans="1:22" ht="19.5" customHeight="1" x14ac:dyDescent="0.2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</row>
    <row r="152" spans="1:22" ht="19.5" customHeight="1" x14ac:dyDescent="0.2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</row>
    <row r="153" spans="1:22" ht="19.5" customHeight="1" x14ac:dyDescent="0.2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</row>
    <row r="154" spans="1:22" ht="19.5" customHeight="1" x14ac:dyDescent="0.2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</row>
    <row r="155" spans="1:22" ht="19.5" customHeight="1" x14ac:dyDescent="0.2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</row>
    <row r="156" spans="1:22" ht="19.5" customHeight="1" x14ac:dyDescent="0.2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</row>
    <row r="157" spans="1:22" ht="19.5" customHeight="1" x14ac:dyDescent="0.2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</row>
    <row r="158" spans="1:22" ht="19.5" customHeight="1" x14ac:dyDescent="0.2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</row>
    <row r="159" spans="1:22" ht="19.5" customHeight="1" x14ac:dyDescent="0.2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</row>
    <row r="160" spans="1:22" ht="19.5" customHeight="1" x14ac:dyDescent="0.2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</row>
    <row r="161" spans="1:22" ht="19.5" customHeight="1" x14ac:dyDescent="0.2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</row>
    <row r="162" spans="1:22" ht="19.5" customHeight="1" x14ac:dyDescent="0.2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</row>
    <row r="163" spans="1:22" ht="19.5" customHeight="1" x14ac:dyDescent="0.2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</row>
    <row r="164" spans="1:22" ht="19.5" customHeight="1" x14ac:dyDescent="0.2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</row>
    <row r="165" spans="1:22" ht="19.5" customHeight="1" x14ac:dyDescent="0.2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</row>
    <row r="166" spans="1:22" ht="19.5" customHeight="1" x14ac:dyDescent="0.2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</row>
    <row r="167" spans="1:22" ht="19.5" customHeight="1" x14ac:dyDescent="0.2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</row>
    <row r="168" spans="1:22" ht="19.5" customHeight="1" x14ac:dyDescent="0.2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</row>
    <row r="169" spans="1:22" ht="19.5" customHeight="1" x14ac:dyDescent="0.2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</row>
    <row r="170" spans="1:22" ht="19.5" customHeight="1" x14ac:dyDescent="0.2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</row>
    <row r="171" spans="1:22" ht="19.5" customHeight="1" x14ac:dyDescent="0.2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</row>
    <row r="172" spans="1:22" ht="19.5" customHeight="1" x14ac:dyDescent="0.2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</row>
    <row r="173" spans="1:22" ht="19.5" customHeight="1" x14ac:dyDescent="0.2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</row>
    <row r="174" spans="1:22" ht="19.5" customHeight="1" x14ac:dyDescent="0.2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</row>
    <row r="175" spans="1:22" ht="19.5" customHeight="1" x14ac:dyDescent="0.2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</row>
    <row r="176" spans="1:22" ht="19.5" customHeight="1" x14ac:dyDescent="0.2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</row>
    <row r="177" spans="1:22" ht="19.5" customHeight="1" x14ac:dyDescent="0.2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</row>
    <row r="178" spans="1:22" ht="19.5" customHeight="1" x14ac:dyDescent="0.2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</row>
    <row r="179" spans="1:22" ht="19.5" customHeight="1" x14ac:dyDescent="0.2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</row>
    <row r="180" spans="1:22" ht="19.5" customHeight="1" x14ac:dyDescent="0.2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</row>
    <row r="181" spans="1:22" ht="19.5" customHeight="1" x14ac:dyDescent="0.2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</row>
    <row r="182" spans="1:22" ht="19.5" customHeight="1" x14ac:dyDescent="0.2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</row>
    <row r="183" spans="1:22" ht="19.5" customHeight="1" x14ac:dyDescent="0.2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</row>
    <row r="184" spans="1:22" ht="19.5" customHeight="1" x14ac:dyDescent="0.2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</row>
    <row r="185" spans="1:22" ht="19.5" customHeight="1" x14ac:dyDescent="0.2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</row>
    <row r="186" spans="1:22" ht="19.5" customHeight="1" x14ac:dyDescent="0.2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</row>
    <row r="187" spans="1:22" ht="19.5" customHeight="1" x14ac:dyDescent="0.2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</row>
    <row r="188" spans="1:22" ht="19.5" customHeight="1" x14ac:dyDescent="0.2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</row>
    <row r="189" spans="1:22" ht="19.5" customHeight="1" x14ac:dyDescent="0.2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</row>
    <row r="190" spans="1:22" ht="19.5" customHeight="1" x14ac:dyDescent="0.2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</row>
    <row r="191" spans="1:22" ht="19.5" customHeight="1" x14ac:dyDescent="0.2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</row>
    <row r="192" spans="1:22" ht="19.5" customHeight="1" x14ac:dyDescent="0.2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</row>
    <row r="193" spans="1:22" ht="19.5" customHeight="1" x14ac:dyDescent="0.2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</row>
    <row r="194" spans="1:22" ht="19.5" customHeight="1" x14ac:dyDescent="0.2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</row>
    <row r="195" spans="1:22" ht="19.5" customHeight="1" x14ac:dyDescent="0.2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</row>
    <row r="196" spans="1:22" ht="19.5" customHeight="1" x14ac:dyDescent="0.2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</row>
    <row r="197" spans="1:22" ht="19.5" customHeight="1" x14ac:dyDescent="0.2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</row>
    <row r="198" spans="1:22" ht="19.5" customHeight="1" x14ac:dyDescent="0.2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</row>
    <row r="199" spans="1:22" ht="19.5" customHeight="1" x14ac:dyDescent="0.2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</row>
    <row r="200" spans="1:22" ht="19.5" customHeight="1" x14ac:dyDescent="0.2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</row>
    <row r="201" spans="1:22" ht="19.5" customHeight="1" x14ac:dyDescent="0.2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</row>
    <row r="202" spans="1:22" ht="19.5" customHeight="1" x14ac:dyDescent="0.2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</row>
    <row r="203" spans="1:22" ht="19.5" customHeight="1" x14ac:dyDescent="0.2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</row>
    <row r="204" spans="1:22" ht="19.5" customHeight="1" x14ac:dyDescent="0.2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</row>
    <row r="205" spans="1:22" ht="19.5" customHeight="1" x14ac:dyDescent="0.2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</row>
    <row r="206" spans="1:22" ht="19.5" customHeight="1" x14ac:dyDescent="0.2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</row>
    <row r="207" spans="1:22" ht="19.5" customHeight="1" x14ac:dyDescent="0.2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</row>
    <row r="208" spans="1:22" ht="19.5" customHeight="1" x14ac:dyDescent="0.2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</row>
    <row r="209" spans="1:22" ht="19.5" customHeight="1" x14ac:dyDescent="0.2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</row>
    <row r="210" spans="1:22" ht="19.5" customHeight="1" x14ac:dyDescent="0.2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</row>
    <row r="211" spans="1:22" ht="19.5" customHeight="1" x14ac:dyDescent="0.2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</row>
    <row r="212" spans="1:22" ht="19.5" customHeight="1" x14ac:dyDescent="0.2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</row>
    <row r="213" spans="1:22" ht="19.5" customHeight="1" x14ac:dyDescent="0.2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</row>
    <row r="214" spans="1:22" ht="19.5" customHeight="1" x14ac:dyDescent="0.2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</row>
    <row r="215" spans="1:22" ht="19.5" customHeight="1" x14ac:dyDescent="0.2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</row>
    <row r="216" spans="1:22" ht="19.5" customHeight="1" x14ac:dyDescent="0.2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</row>
    <row r="217" spans="1:22" ht="19.5" customHeight="1" x14ac:dyDescent="0.2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</row>
    <row r="218" spans="1:22" ht="19.5" customHeight="1" x14ac:dyDescent="0.2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</row>
    <row r="219" spans="1:22" ht="19.5" customHeight="1" x14ac:dyDescent="0.2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</row>
    <row r="220" spans="1:22" ht="19.5" customHeight="1" x14ac:dyDescent="0.2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</row>
    <row r="221" spans="1:22" ht="15.75" customHeight="1" x14ac:dyDescent="0.2"/>
    <row r="222" spans="1:22" ht="15.75" customHeight="1" x14ac:dyDescent="0.2"/>
    <row r="223" spans="1:22" ht="15.75" customHeight="1" x14ac:dyDescent="0.2"/>
    <row r="224" spans="1:22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90551181102362199" right="0.51181102362204722" top="0.74803149606299213" bottom="0.74803149606299213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/>
  </sheetViews>
  <sheetFormatPr defaultColWidth="12.5703125" defaultRowHeight="15" customHeight="1" x14ac:dyDescent="0.2"/>
  <cols>
    <col min="1" max="1" width="70.42578125" customWidth="1"/>
    <col min="2" max="3" width="9.140625" customWidth="1"/>
    <col min="4" max="4" width="12.85546875" customWidth="1"/>
    <col min="5" max="21" width="9.140625" customWidth="1"/>
  </cols>
  <sheetData>
    <row r="1" spans="1:21" ht="12.75" customHeight="1" x14ac:dyDescent="0.25">
      <c r="A1" s="260" t="s">
        <v>320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</row>
    <row r="2" spans="1:21" ht="12.75" customHeight="1" x14ac:dyDescent="0.2">
      <c r="A2" s="261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1:21" ht="12.75" customHeight="1" x14ac:dyDescent="0.2">
      <c r="A3" s="261" t="s">
        <v>321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</row>
    <row r="4" spans="1:21" ht="12.75" customHeight="1" x14ac:dyDescent="0.2">
      <c r="A4" s="261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</row>
    <row r="5" spans="1:21" ht="12.75" customHeight="1" x14ac:dyDescent="0.2">
      <c r="A5" s="261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</row>
    <row r="6" spans="1:21" ht="12.75" customHeight="1" x14ac:dyDescent="0.2">
      <c r="A6" s="261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</row>
    <row r="7" spans="1:21" ht="12.75" customHeight="1" x14ac:dyDescent="0.2">
      <c r="A7" s="261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</row>
    <row r="8" spans="1:21" ht="12.75" customHeight="1" x14ac:dyDescent="0.2">
      <c r="A8" s="261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</row>
    <row r="9" spans="1:21" ht="12.75" customHeight="1" x14ac:dyDescent="0.2">
      <c r="A9" s="261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</row>
    <row r="10" spans="1:21" ht="12.75" customHeight="1" x14ac:dyDescent="0.2">
      <c r="A10" s="261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</row>
    <row r="11" spans="1:21" ht="12.75" customHeight="1" x14ac:dyDescent="0.2">
      <c r="A11" s="261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</row>
    <row r="12" spans="1:21" ht="12.75" customHeight="1" x14ac:dyDescent="0.35">
      <c r="A12" s="262" t="s">
        <v>322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</row>
    <row r="13" spans="1:21" ht="12.75" customHeight="1" x14ac:dyDescent="0.2">
      <c r="A13" s="262" t="s">
        <v>323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</row>
    <row r="14" spans="1:21" ht="12.75" customHeight="1" x14ac:dyDescent="0.2">
      <c r="A14" s="262" t="s">
        <v>324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</row>
    <row r="15" spans="1:21" ht="12.75" customHeight="1" x14ac:dyDescent="0.35">
      <c r="A15" s="262" t="s">
        <v>325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</row>
    <row r="16" spans="1:21" ht="12.75" customHeight="1" x14ac:dyDescent="0.35">
      <c r="A16" s="262" t="s">
        <v>326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</row>
    <row r="17" spans="1:21" ht="12.75" customHeight="1" x14ac:dyDescent="0.2">
      <c r="A17" s="263" t="s">
        <v>327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</row>
    <row r="18" spans="1:21" ht="12.75" customHeight="1" x14ac:dyDescent="0.2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</row>
    <row r="19" spans="1:21" ht="12.75" customHeight="1" x14ac:dyDescent="0.2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</row>
    <row r="20" spans="1:21" ht="12.75" customHeight="1" x14ac:dyDescent="0.2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</row>
    <row r="21" spans="1:21" ht="12.75" customHeight="1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</row>
    <row r="22" spans="1:21" ht="12.75" customHeight="1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</row>
    <row r="23" spans="1:21" ht="12.75" customHeight="1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</row>
    <row r="24" spans="1:21" ht="12.75" customHeight="1" x14ac:dyDescent="0.2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</row>
    <row r="25" spans="1:21" ht="12.75" customHeight="1" x14ac:dyDescent="0.2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</row>
    <row r="26" spans="1:21" ht="12.75" customHeight="1" x14ac:dyDescent="0.2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</row>
    <row r="27" spans="1:21" ht="12.75" customHeight="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</row>
    <row r="28" spans="1:21" ht="12.75" customHeight="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</row>
    <row r="29" spans="1:21" ht="12.75" customHeight="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</row>
    <row r="30" spans="1:21" ht="12.75" customHeight="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</row>
    <row r="31" spans="1:21" ht="12.75" customHeight="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</row>
    <row r="32" spans="1:21" ht="12.75" customHeight="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</row>
    <row r="33" spans="1:21" ht="12.75" customHeight="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</row>
    <row r="34" spans="1:21" ht="12.75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</row>
    <row r="35" spans="1:21" ht="12.75" customHeight="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</row>
    <row r="36" spans="1:21" ht="12.75" customHeight="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</row>
    <row r="37" spans="1:21" ht="12.75" customHeight="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</row>
    <row r="38" spans="1:21" ht="12.75" customHeight="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</row>
    <row r="39" spans="1:21" ht="12.75" customHeight="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</row>
    <row r="40" spans="1:21" ht="12.75" customHeight="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</row>
    <row r="41" spans="1:21" ht="12.75" customHeight="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</row>
    <row r="42" spans="1:21" ht="12.75" customHeight="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</row>
    <row r="43" spans="1:21" ht="12.75" customHeight="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</row>
    <row r="44" spans="1:21" ht="12.75" customHeight="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</row>
    <row r="45" spans="1:21" ht="12.75" customHeight="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</row>
    <row r="46" spans="1:21" ht="12.75" customHeight="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</row>
    <row r="47" spans="1:21" ht="12.75" customHeight="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</row>
    <row r="48" spans="1:21" ht="12.75" customHeight="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</row>
    <row r="49" spans="1:21" ht="12.75" customHeight="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</row>
    <row r="50" spans="1:21" ht="12.75" customHeight="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</row>
    <row r="51" spans="1:21" ht="12.75" customHeight="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</row>
    <row r="52" spans="1:21" ht="12.75" customHeight="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</row>
    <row r="53" spans="1:21" ht="12.75" customHeight="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</row>
    <row r="54" spans="1:21" ht="12.75" customHeight="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</row>
    <row r="55" spans="1:21" ht="12.75" customHeight="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</row>
    <row r="56" spans="1:21" ht="12.75" customHeight="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</row>
    <row r="57" spans="1:21" ht="12.75" customHeight="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</row>
    <row r="58" spans="1:21" ht="12.75" customHeight="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</row>
    <row r="59" spans="1:21" ht="12.75" customHeight="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</row>
    <row r="60" spans="1:21" ht="12.75" customHeight="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</row>
    <row r="61" spans="1:21" ht="12.75" customHeight="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</row>
    <row r="62" spans="1:21" ht="12.75" customHeight="1" x14ac:dyDescent="0.2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</row>
    <row r="63" spans="1:21" ht="12.75" customHeight="1" x14ac:dyDescent="0.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</row>
    <row r="64" spans="1:21" ht="12.75" customHeight="1" x14ac:dyDescent="0.2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</row>
    <row r="65" spans="1:21" ht="12.75" customHeight="1" x14ac:dyDescent="0.2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</row>
    <row r="66" spans="1:21" ht="12.75" customHeight="1" x14ac:dyDescent="0.2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12.75" customHeight="1" x14ac:dyDescent="0.2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</row>
    <row r="68" spans="1:21" ht="12.75" customHeight="1" x14ac:dyDescent="0.2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</row>
    <row r="69" spans="1:21" ht="12.75" customHeight="1" x14ac:dyDescent="0.2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  <row r="70" spans="1:21" ht="12.75" customHeight="1" x14ac:dyDescent="0.2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</row>
    <row r="71" spans="1:21" ht="12.75" customHeight="1" x14ac:dyDescent="0.2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</row>
    <row r="72" spans="1:21" ht="12.75" customHeight="1" x14ac:dyDescent="0.2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</row>
    <row r="73" spans="1:21" ht="12.75" customHeight="1" x14ac:dyDescent="0.2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</row>
    <row r="74" spans="1:21" ht="12.75" customHeight="1" x14ac:dyDescent="0.2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</row>
    <row r="75" spans="1:21" ht="12.75" customHeight="1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</row>
    <row r="76" spans="1:21" ht="12.75" customHeight="1" x14ac:dyDescent="0.2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</row>
    <row r="77" spans="1:21" ht="12.75" customHeight="1" x14ac:dyDescent="0.2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</row>
    <row r="78" spans="1:21" ht="12.75" customHeight="1" x14ac:dyDescent="0.2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</row>
    <row r="79" spans="1:21" ht="12.75" customHeight="1" x14ac:dyDescent="0.2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</row>
    <row r="80" spans="1:21" ht="12.75" customHeight="1" x14ac:dyDescent="0.2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</row>
    <row r="81" spans="1:21" ht="12.75" customHeight="1" x14ac:dyDescent="0.2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</row>
    <row r="82" spans="1:21" ht="12.75" customHeight="1" x14ac:dyDescent="0.2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</row>
    <row r="83" spans="1:21" ht="12.75" customHeight="1" x14ac:dyDescent="0.2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</row>
    <row r="84" spans="1:21" ht="12.75" customHeight="1" x14ac:dyDescent="0.2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</row>
    <row r="85" spans="1:21" ht="12.75" customHeight="1" x14ac:dyDescent="0.2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</row>
    <row r="86" spans="1:21" ht="12.75" customHeight="1" x14ac:dyDescent="0.2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</row>
    <row r="87" spans="1:21" ht="12.75" customHeight="1" x14ac:dyDescent="0.2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</row>
    <row r="88" spans="1:21" ht="12.75" customHeight="1" x14ac:dyDescent="0.2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</row>
    <row r="89" spans="1:21" ht="12.75" customHeight="1" x14ac:dyDescent="0.2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</row>
    <row r="90" spans="1:21" ht="12.75" customHeight="1" x14ac:dyDescent="0.2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</row>
    <row r="91" spans="1:21" ht="12.75" customHeight="1" x14ac:dyDescent="0.2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</row>
    <row r="92" spans="1:21" ht="12.75" customHeight="1" x14ac:dyDescent="0.2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</row>
    <row r="93" spans="1:21" ht="12.75" customHeight="1" x14ac:dyDescent="0.2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</row>
    <row r="94" spans="1:21" ht="12.75" customHeight="1" x14ac:dyDescent="0.2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</row>
    <row r="95" spans="1:21" ht="12.75" customHeight="1" x14ac:dyDescent="0.2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</row>
    <row r="96" spans="1:21" ht="12.75" customHeight="1" x14ac:dyDescent="0.2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</row>
    <row r="97" spans="1:21" ht="12.75" customHeight="1" x14ac:dyDescent="0.2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</row>
    <row r="98" spans="1:21" ht="12.75" customHeight="1" x14ac:dyDescent="0.2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</row>
    <row r="99" spans="1:21" ht="12.75" customHeight="1" x14ac:dyDescent="0.2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</row>
    <row r="100" spans="1:21" ht="12.75" customHeight="1" x14ac:dyDescent="0.2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</row>
    <row r="101" spans="1:21" ht="12.75" customHeight="1" x14ac:dyDescent="0.2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</row>
    <row r="102" spans="1:21" ht="12.75" customHeight="1" x14ac:dyDescent="0.2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</row>
    <row r="103" spans="1:21" ht="12.75" customHeight="1" x14ac:dyDescent="0.2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</row>
    <row r="104" spans="1:21" ht="12.75" customHeight="1" x14ac:dyDescent="0.2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</row>
    <row r="105" spans="1:21" ht="12.75" customHeight="1" x14ac:dyDescent="0.2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</row>
    <row r="106" spans="1:21" ht="12.75" customHeight="1" x14ac:dyDescent="0.2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</row>
    <row r="107" spans="1:21" ht="12.75" customHeight="1" x14ac:dyDescent="0.2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</row>
    <row r="108" spans="1:21" ht="12.75" customHeight="1" x14ac:dyDescent="0.2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</row>
    <row r="109" spans="1:21" ht="12.75" customHeight="1" x14ac:dyDescent="0.2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</row>
    <row r="110" spans="1:21" ht="12.75" customHeight="1" x14ac:dyDescent="0.2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1:21" ht="12.75" customHeight="1" x14ac:dyDescent="0.2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1:21" ht="12.75" customHeight="1" x14ac:dyDescent="0.2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</row>
    <row r="113" spans="1:21" ht="12.75" customHeight="1" x14ac:dyDescent="0.2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</row>
    <row r="114" spans="1:21" ht="12.75" customHeight="1" x14ac:dyDescent="0.2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</row>
    <row r="115" spans="1:21" ht="12.75" customHeight="1" x14ac:dyDescent="0.2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</row>
    <row r="116" spans="1:21" ht="12.75" customHeight="1" x14ac:dyDescent="0.2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</row>
    <row r="117" spans="1:21" ht="12.75" customHeight="1" x14ac:dyDescent="0.2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</row>
    <row r="118" spans="1:21" ht="12.75" customHeight="1" x14ac:dyDescent="0.2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</row>
    <row r="119" spans="1:21" ht="12.75" customHeight="1" x14ac:dyDescent="0.2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</row>
    <row r="120" spans="1:21" ht="12.75" customHeight="1" x14ac:dyDescent="0.2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</row>
    <row r="121" spans="1:21" ht="12.75" customHeight="1" x14ac:dyDescent="0.2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</row>
    <row r="122" spans="1:21" ht="12.75" customHeight="1" x14ac:dyDescent="0.2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</row>
    <row r="123" spans="1:21" ht="12.75" customHeight="1" x14ac:dyDescent="0.2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</row>
    <row r="124" spans="1:21" ht="12.75" customHeight="1" x14ac:dyDescent="0.2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</row>
    <row r="125" spans="1:21" ht="12.75" customHeight="1" x14ac:dyDescent="0.2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</row>
    <row r="126" spans="1:21" ht="12.75" customHeight="1" x14ac:dyDescent="0.2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</row>
    <row r="127" spans="1:21" ht="12.75" customHeight="1" x14ac:dyDescent="0.2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</row>
    <row r="128" spans="1:21" ht="12.75" customHeight="1" x14ac:dyDescent="0.2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</row>
    <row r="129" spans="1:21" ht="12.75" customHeight="1" x14ac:dyDescent="0.2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</row>
    <row r="130" spans="1:21" ht="12.75" customHeight="1" x14ac:dyDescent="0.2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</row>
    <row r="131" spans="1:21" ht="12.75" customHeight="1" x14ac:dyDescent="0.2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</row>
    <row r="132" spans="1:21" ht="12.75" customHeight="1" x14ac:dyDescent="0.2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</row>
    <row r="133" spans="1:21" ht="12.75" customHeight="1" x14ac:dyDescent="0.2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</row>
    <row r="134" spans="1:21" ht="12.75" customHeight="1" x14ac:dyDescent="0.2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</row>
    <row r="135" spans="1:21" ht="12.75" customHeight="1" x14ac:dyDescent="0.2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</row>
    <row r="136" spans="1:21" ht="12.75" customHeight="1" x14ac:dyDescent="0.2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</row>
    <row r="137" spans="1:21" ht="12.75" customHeight="1" x14ac:dyDescent="0.2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</row>
    <row r="138" spans="1:21" ht="12.75" customHeight="1" x14ac:dyDescent="0.2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</row>
    <row r="139" spans="1:21" ht="12.75" customHeight="1" x14ac:dyDescent="0.2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</row>
    <row r="140" spans="1:21" ht="12.75" customHeight="1" x14ac:dyDescent="0.2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</row>
    <row r="141" spans="1:21" ht="12.75" customHeight="1" x14ac:dyDescent="0.2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</row>
    <row r="142" spans="1:21" ht="12.75" customHeight="1" x14ac:dyDescent="0.2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</row>
    <row r="143" spans="1:21" ht="12.75" customHeight="1" x14ac:dyDescent="0.2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</row>
    <row r="144" spans="1:21" ht="12.75" customHeight="1" x14ac:dyDescent="0.2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</row>
    <row r="145" spans="1:21" ht="12.75" customHeight="1" x14ac:dyDescent="0.2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</row>
    <row r="146" spans="1:21" ht="12.75" customHeight="1" x14ac:dyDescent="0.2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</row>
    <row r="147" spans="1:21" ht="12.75" customHeight="1" x14ac:dyDescent="0.2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</row>
    <row r="148" spans="1:21" ht="12.75" customHeight="1" x14ac:dyDescent="0.2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</row>
    <row r="149" spans="1:21" ht="12.75" customHeight="1" x14ac:dyDescent="0.2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</row>
    <row r="150" spans="1:21" ht="12.75" customHeight="1" x14ac:dyDescent="0.2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</row>
    <row r="151" spans="1:21" ht="12.75" customHeight="1" x14ac:dyDescent="0.2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</row>
    <row r="152" spans="1:21" ht="12.75" customHeight="1" x14ac:dyDescent="0.2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</row>
    <row r="153" spans="1:21" ht="12.75" customHeight="1" x14ac:dyDescent="0.2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</row>
    <row r="154" spans="1:21" ht="12.75" customHeight="1" x14ac:dyDescent="0.2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</row>
    <row r="155" spans="1:21" ht="12.75" customHeight="1" x14ac:dyDescent="0.2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</row>
    <row r="156" spans="1:21" ht="12.75" customHeight="1" x14ac:dyDescent="0.2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</row>
    <row r="157" spans="1:21" ht="12.75" customHeight="1" x14ac:dyDescent="0.2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</row>
    <row r="158" spans="1:21" ht="12.75" customHeight="1" x14ac:dyDescent="0.2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</row>
    <row r="159" spans="1:21" ht="12.75" customHeight="1" x14ac:dyDescent="0.2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</row>
    <row r="160" spans="1:21" ht="12.75" customHeight="1" x14ac:dyDescent="0.2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</row>
    <row r="161" spans="1:21" ht="12.75" customHeight="1" x14ac:dyDescent="0.2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</row>
    <row r="162" spans="1:21" ht="12.75" customHeight="1" x14ac:dyDescent="0.2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</row>
    <row r="163" spans="1:21" ht="12.75" customHeight="1" x14ac:dyDescent="0.2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</row>
    <row r="164" spans="1:21" ht="12.75" customHeight="1" x14ac:dyDescent="0.2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</row>
    <row r="165" spans="1:21" ht="12.75" customHeight="1" x14ac:dyDescent="0.2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</row>
    <row r="166" spans="1:21" ht="12.75" customHeight="1" x14ac:dyDescent="0.2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</row>
    <row r="167" spans="1:21" ht="12.75" customHeight="1" x14ac:dyDescent="0.2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</row>
    <row r="168" spans="1:21" ht="12.75" customHeight="1" x14ac:dyDescent="0.2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</row>
    <row r="169" spans="1:21" ht="12.75" customHeight="1" x14ac:dyDescent="0.2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</row>
    <row r="170" spans="1:21" ht="12.75" customHeight="1" x14ac:dyDescent="0.2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</row>
    <row r="171" spans="1:21" ht="12.75" customHeight="1" x14ac:dyDescent="0.2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</row>
    <row r="172" spans="1:21" ht="12.75" customHeight="1" x14ac:dyDescent="0.2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</row>
    <row r="173" spans="1:21" ht="12.75" customHeight="1" x14ac:dyDescent="0.2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</row>
    <row r="174" spans="1:21" ht="12.75" customHeight="1" x14ac:dyDescent="0.2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</row>
    <row r="175" spans="1:21" ht="12.75" customHeight="1" x14ac:dyDescent="0.2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</row>
    <row r="176" spans="1:21" ht="12.75" customHeight="1" x14ac:dyDescent="0.2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</row>
    <row r="177" spans="1:21" ht="12.75" customHeight="1" x14ac:dyDescent="0.2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</row>
    <row r="178" spans="1:21" ht="12.75" customHeight="1" x14ac:dyDescent="0.2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</row>
    <row r="179" spans="1:21" ht="12.75" customHeight="1" x14ac:dyDescent="0.2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</row>
    <row r="180" spans="1:21" ht="12.75" customHeight="1" x14ac:dyDescent="0.2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</row>
    <row r="181" spans="1:21" ht="12.75" customHeight="1" x14ac:dyDescent="0.2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</row>
    <row r="182" spans="1:21" ht="12.75" customHeight="1" x14ac:dyDescent="0.2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</row>
    <row r="183" spans="1:21" ht="12.75" customHeight="1" x14ac:dyDescent="0.2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</row>
    <row r="184" spans="1:21" ht="12.75" customHeight="1" x14ac:dyDescent="0.2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</row>
    <row r="185" spans="1:21" ht="12.75" customHeight="1" x14ac:dyDescent="0.2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</row>
    <row r="186" spans="1:21" ht="12.75" customHeight="1" x14ac:dyDescent="0.2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</row>
    <row r="187" spans="1:21" ht="12.75" customHeight="1" x14ac:dyDescent="0.2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</row>
    <row r="188" spans="1:21" ht="12.75" customHeight="1" x14ac:dyDescent="0.2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</row>
    <row r="189" spans="1:21" ht="12.75" customHeight="1" x14ac:dyDescent="0.2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</row>
    <row r="190" spans="1:21" ht="12.75" customHeight="1" x14ac:dyDescent="0.2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</row>
    <row r="191" spans="1:21" ht="12.75" customHeight="1" x14ac:dyDescent="0.2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</row>
    <row r="192" spans="1:21" ht="12.75" customHeight="1" x14ac:dyDescent="0.2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</row>
    <row r="193" spans="1:21" ht="12.75" customHeight="1" x14ac:dyDescent="0.2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</row>
    <row r="194" spans="1:21" ht="12.75" customHeight="1" x14ac:dyDescent="0.2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</row>
    <row r="195" spans="1:21" ht="12.75" customHeight="1" x14ac:dyDescent="0.2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</row>
    <row r="196" spans="1:21" ht="12.75" customHeight="1" x14ac:dyDescent="0.2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</row>
    <row r="197" spans="1:21" ht="12.75" customHeight="1" x14ac:dyDescent="0.2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</row>
    <row r="198" spans="1:21" ht="12.75" customHeight="1" x14ac:dyDescent="0.2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</row>
    <row r="199" spans="1:21" ht="12.75" customHeight="1" x14ac:dyDescent="0.2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</row>
    <row r="200" spans="1:21" ht="12.75" customHeight="1" x14ac:dyDescent="0.2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</row>
    <row r="201" spans="1:21" ht="12.75" customHeight="1" x14ac:dyDescent="0.2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</row>
    <row r="202" spans="1:21" ht="12.75" customHeight="1" x14ac:dyDescent="0.2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</row>
    <row r="203" spans="1:21" ht="12.75" customHeight="1" x14ac:dyDescent="0.2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</row>
    <row r="204" spans="1:21" ht="12.75" customHeight="1" x14ac:dyDescent="0.2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</row>
    <row r="205" spans="1:21" ht="12.75" customHeight="1" x14ac:dyDescent="0.2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</row>
    <row r="206" spans="1:21" ht="12.75" customHeight="1" x14ac:dyDescent="0.2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</row>
    <row r="207" spans="1:21" ht="12.75" customHeight="1" x14ac:dyDescent="0.2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</row>
    <row r="208" spans="1:21" ht="12.75" customHeight="1" x14ac:dyDescent="0.2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</row>
    <row r="209" spans="1:21" ht="12.75" customHeight="1" x14ac:dyDescent="0.2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</row>
    <row r="210" spans="1:21" ht="12.75" customHeight="1" x14ac:dyDescent="0.2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</row>
    <row r="211" spans="1:21" ht="12.75" customHeight="1" x14ac:dyDescent="0.2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</row>
    <row r="212" spans="1:21" ht="12.75" customHeight="1" x14ac:dyDescent="0.2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</row>
    <row r="213" spans="1:21" ht="12.75" customHeight="1" x14ac:dyDescent="0.2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</row>
    <row r="214" spans="1:21" ht="12.75" customHeight="1" x14ac:dyDescent="0.2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</row>
    <row r="215" spans="1:21" ht="12.75" customHeight="1" x14ac:dyDescent="0.2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</row>
    <row r="216" spans="1:21" ht="12.75" customHeight="1" x14ac:dyDescent="0.2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</row>
    <row r="217" spans="1:21" ht="12.75" customHeight="1" x14ac:dyDescent="0.2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</row>
    <row r="218" spans="1:21" ht="12.75" customHeight="1" x14ac:dyDescent="0.2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</row>
    <row r="219" spans="1:21" ht="12.75" customHeight="1" x14ac:dyDescent="0.2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</row>
    <row r="220" spans="1:21" ht="12.75" customHeight="1" x14ac:dyDescent="0.2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</row>
    <row r="221" spans="1:21" ht="15.75" customHeight="1" x14ac:dyDescent="0.2"/>
    <row r="222" spans="1:21" ht="15.75" customHeight="1" x14ac:dyDescent="0.2"/>
    <row r="223" spans="1:21" ht="15.75" customHeight="1" x14ac:dyDescent="0.2"/>
    <row r="224" spans="1:21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90551181102362199" right="0.5118110236220472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1. Coleta convencional</vt:lpstr>
      <vt:lpstr>2.Encargos Sociais</vt:lpstr>
      <vt:lpstr>3.CAGED</vt:lpstr>
      <vt:lpstr>4.BDI</vt:lpstr>
      <vt:lpstr>5. Depreciação</vt:lpstr>
      <vt:lpstr>6.Remuneração de capital</vt:lpstr>
      <vt:lpstr>AbaDeprec</vt:lpstr>
      <vt:lpstr>AbaRemun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Burmeister Martins</dc:creator>
  <cp:lastModifiedBy>pmsap</cp:lastModifiedBy>
  <dcterms:created xsi:type="dcterms:W3CDTF">2000-12-13T10:02:50Z</dcterms:created>
  <dcterms:modified xsi:type="dcterms:W3CDTF">2026-03-09T19:31:16Z</dcterms:modified>
</cp:coreProperties>
</file>