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00" windowWidth="19935" windowHeight="8895"/>
  </bookViews>
  <sheets>
    <sheet name="CAGED" sheetId="1" r:id="rId1"/>
    <sheet name="Encargos" sheetId="2" r:id="rId2"/>
    <sheet name="Mão de obra" sheetId="3" r:id="rId3"/>
    <sheet name="BDI" sheetId="4" r:id="rId4"/>
  </sheets>
  <calcPr calcId="144525"/>
  <extLst>
    <ext uri="GoogleSheetsCustomDataVersion2">
      <go:sheetsCustomData xmlns:go="http://customooxmlschemas.google.com/" r:id="rId8" roundtripDataChecksum="aIGtIoadxGMudZjTfqpg3dR3JVednj6pj07NYTP3vgI="/>
    </ext>
  </extLst>
</workbook>
</file>

<file path=xl/calcChain.xml><?xml version="1.0" encoding="utf-8"?>
<calcChain xmlns="http://schemas.openxmlformats.org/spreadsheetml/2006/main">
  <c r="C6" i="4" l="1"/>
  <c r="C11" i="4" s="1"/>
  <c r="C19" i="4" s="1"/>
  <c r="A159" i="3"/>
  <c r="A158" i="3"/>
  <c r="A157" i="3"/>
  <c r="A156" i="3"/>
  <c r="A155" i="3"/>
  <c r="A154" i="3"/>
  <c r="A153" i="3"/>
  <c r="A150" i="3"/>
  <c r="A149" i="3"/>
  <c r="A148" i="3"/>
  <c r="A147" i="3"/>
  <c r="A146" i="3"/>
  <c r="A145" i="3"/>
  <c r="E134" i="3"/>
  <c r="C122" i="3"/>
  <c r="E122" i="3" s="1"/>
  <c r="F123" i="3" s="1"/>
  <c r="B157" i="3" s="1"/>
  <c r="C117" i="3"/>
  <c r="D116" i="3"/>
  <c r="E116" i="3" s="1"/>
  <c r="D117" i="3" s="1"/>
  <c r="E115" i="3"/>
  <c r="C115" i="3"/>
  <c r="E113" i="3"/>
  <c r="E108" i="3"/>
  <c r="E107" i="3"/>
  <c r="F109" i="3" s="1"/>
  <c r="B155" i="3" s="1"/>
  <c r="C107" i="3"/>
  <c r="D102" i="3"/>
  <c r="D101" i="3"/>
  <c r="D99" i="3"/>
  <c r="D97" i="3"/>
  <c r="D95" i="3"/>
  <c r="D93" i="3"/>
  <c r="C93" i="3"/>
  <c r="C99" i="3" s="1"/>
  <c r="E99" i="3" s="1"/>
  <c r="E82" i="3"/>
  <c r="C79" i="3"/>
  <c r="E79" i="3" s="1"/>
  <c r="F79" i="3" s="1"/>
  <c r="D78" i="3"/>
  <c r="E69" i="3"/>
  <c r="C68" i="3"/>
  <c r="C65" i="3"/>
  <c r="D66" i="3" s="1"/>
  <c r="E66" i="3" s="1"/>
  <c r="E67" i="3" s="1"/>
  <c r="D68" i="3" s="1"/>
  <c r="E68" i="3" s="1"/>
  <c r="F69" i="3" s="1"/>
  <c r="B152" i="3" s="1"/>
  <c r="C64" i="3"/>
  <c r="D62" i="3"/>
  <c r="C62" i="3"/>
  <c r="E62" i="3" s="1"/>
  <c r="E58" i="3"/>
  <c r="C57" i="3"/>
  <c r="C80" i="3" s="1"/>
  <c r="E80" i="3" s="1"/>
  <c r="F80" i="3" s="1"/>
  <c r="C55" i="3"/>
  <c r="C53" i="3"/>
  <c r="C52" i="3"/>
  <c r="E51" i="3"/>
  <c r="D54" i="3" s="1"/>
  <c r="E54" i="3" s="1"/>
  <c r="D55" i="3" s="1"/>
  <c r="E55" i="3" s="1"/>
  <c r="E56" i="3" s="1"/>
  <c r="D57" i="3" s="1"/>
  <c r="D51" i="3"/>
  <c r="C46" i="3"/>
  <c r="E34" i="3"/>
  <c r="E33" i="3"/>
  <c r="F34" i="3" s="1"/>
  <c r="C33" i="3"/>
  <c r="E28" i="3"/>
  <c r="F29" i="3" s="1"/>
  <c r="B148" i="3" s="1"/>
  <c r="C28" i="3"/>
  <c r="A28" i="3"/>
  <c r="A33" i="3" s="1"/>
  <c r="C23" i="3"/>
  <c r="E17" i="3"/>
  <c r="D12" i="3"/>
  <c r="E12" i="3" s="1"/>
  <c r="E9" i="3"/>
  <c r="D9" i="3"/>
  <c r="D8" i="3"/>
  <c r="E8" i="3" s="1"/>
  <c r="D10" i="3" s="1"/>
  <c r="E10" i="3" s="1"/>
  <c r="E6" i="3"/>
  <c r="C14" i="2"/>
  <c r="C11" i="2"/>
  <c r="C21" i="1"/>
  <c r="C22" i="1" s="1"/>
  <c r="C19" i="1"/>
  <c r="E117" i="3" l="1"/>
  <c r="F118" i="3" s="1"/>
  <c r="B156" i="3" s="1"/>
  <c r="C25" i="2"/>
  <c r="C21" i="2"/>
  <c r="B149" i="3"/>
  <c r="E13" i="3"/>
  <c r="E23" i="3"/>
  <c r="F24" i="3" s="1"/>
  <c r="B147" i="3" s="1"/>
  <c r="C97" i="3"/>
  <c r="E97" i="3" s="1"/>
  <c r="C101" i="3"/>
  <c r="E101" i="3" s="1"/>
  <c r="C23" i="1"/>
  <c r="C78" i="3"/>
  <c r="E78" i="3" s="1"/>
  <c r="C130" i="3"/>
  <c r="E93" i="3"/>
  <c r="D23" i="3"/>
  <c r="C95" i="3"/>
  <c r="E95" i="3" s="1"/>
  <c r="E57" i="3"/>
  <c r="F58" i="3" s="1"/>
  <c r="E130" i="3" l="1"/>
  <c r="D131" i="3" s="1"/>
  <c r="E131" i="3" s="1"/>
  <c r="C132" i="3"/>
  <c r="E132" i="3" s="1"/>
  <c r="D133" i="3" s="1"/>
  <c r="E133" i="3" s="1"/>
  <c r="D81" i="3"/>
  <c r="E81" i="3" s="1"/>
  <c r="F82" i="3" s="1"/>
  <c r="F78" i="3"/>
  <c r="B151" i="3"/>
  <c r="F73" i="3"/>
  <c r="C24" i="1"/>
  <c r="C24" i="2"/>
  <c r="D14" i="3"/>
  <c r="C29" i="2"/>
  <c r="F103" i="3"/>
  <c r="B154" i="3" s="1"/>
  <c r="F134" i="3" l="1"/>
  <c r="F136" i="3" s="1"/>
  <c r="B158" i="3" s="1"/>
  <c r="F125" i="3"/>
  <c r="B153" i="3"/>
  <c r="C22" i="2"/>
  <c r="C13" i="2"/>
  <c r="C19" i="2" s="1"/>
  <c r="C28" i="2" s="1"/>
  <c r="C30" i="2" s="1"/>
  <c r="C23" i="2" l="1"/>
  <c r="C26" i="2" s="1"/>
  <c r="C31" i="2" s="1"/>
  <c r="C14" i="3" s="1"/>
  <c r="E14" i="3" s="1"/>
  <c r="E15" i="3" s="1"/>
  <c r="D16" i="3" s="1"/>
  <c r="E16" i="3" s="1"/>
  <c r="F17" i="3" s="1"/>
  <c r="B150" i="3"/>
  <c r="B146" i="3" l="1"/>
  <c r="F36" i="3"/>
  <c r="F139" i="3" s="1"/>
  <c r="F15" i="4" s="1"/>
  <c r="D19" i="4" s="1"/>
  <c r="E19" i="4" s="1"/>
  <c r="F20" i="4" s="1"/>
  <c r="F22" i="4" s="1"/>
  <c r="F141" i="3" s="1"/>
  <c r="B159" i="3" s="1"/>
  <c r="B145" i="3" l="1"/>
  <c r="C145" i="3" l="1"/>
  <c r="B160" i="3"/>
  <c r="B162" i="3" l="1"/>
  <c r="B161" i="3"/>
  <c r="C160" i="3"/>
  <c r="C155" i="3"/>
  <c r="C148" i="3"/>
  <c r="C157" i="3"/>
  <c r="C152" i="3"/>
  <c r="C147" i="3"/>
  <c r="C156" i="3"/>
  <c r="C149" i="3"/>
  <c r="C151" i="3"/>
  <c r="C154" i="3"/>
  <c r="C153" i="3"/>
  <c r="C158" i="3"/>
  <c r="C150" i="3"/>
  <c r="C146" i="3"/>
  <c r="C159" i="3"/>
</calcChain>
</file>

<file path=xl/comments1.xml><?xml version="1.0" encoding="utf-8"?>
<comments xmlns="http://schemas.openxmlformats.org/spreadsheetml/2006/main">
  <authors>
    <author/>
  </authors>
  <commentList>
    <comment ref="B3" authorId="0">
      <text>
        <r>
          <rPr>
            <sz val="11"/>
            <color theme="1"/>
            <rFont val="Calibri"/>
            <scheme val="minor"/>
          </rPr>
          <t>======
ID#AAAATiyuCEg
Mara    (2021-12-21 11:55:58)
Preencher somente os campos em verde.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E1Fle+yqLTWP+eq5jc/tkOxT4uA=="/>
    </ext>
  </extLst>
</comments>
</file>

<file path=xl/comments2.xml><?xml version="1.0" encoding="utf-8"?>
<comments xmlns="http://schemas.openxmlformats.org/spreadsheetml/2006/main">
  <authors>
    <author/>
  </authors>
  <commentList>
    <comment ref="B11" authorId="0">
      <text>
        <r>
          <rPr>
            <sz val="11"/>
            <color theme="1"/>
            <rFont val="Calibri"/>
            <scheme val="minor"/>
          </rPr>
          <t>======
ID#AAAATiyuCC4
Mara    (2021-12-21 11:55:58)
Obrigações obrigatórias por Lei que incidem sobre a folha</t>
        </r>
      </text>
    </comment>
    <comment ref="C15" authorId="0">
      <text>
        <r>
          <rPr>
            <sz val="11"/>
            <color theme="1"/>
            <rFont val="Calibri"/>
            <scheme val="minor"/>
          </rPr>
          <t>======
ID#AAAATiyuCDY
Mara    (2021-12-21 11:55:58)
Orientação do cálculo na apostila e de acordo com o material do TCE RS</t>
        </r>
      </text>
    </comment>
    <comment ref="C16" authorId="0">
      <text>
        <r>
          <rPr>
            <sz val="11"/>
            <color theme="1"/>
            <rFont val="Calibri"/>
            <scheme val="minor"/>
          </rPr>
          <t>======
ID#AAAATiyuCCo
Mara    (2021-12-21 11:55:58)
Orientação do cálculo na apostila e de acordo com o material do TCE RS</t>
        </r>
      </text>
    </comment>
    <comment ref="C17" authorId="0">
      <text>
        <r>
          <rPr>
            <sz val="11"/>
            <color theme="1"/>
            <rFont val="Calibri"/>
            <scheme val="minor"/>
          </rPr>
          <t>======
ID#AAAATiyuCCI
Mara    (2021-12-21 11:55:58)
Orientação do cálculo na apostila e de acordo com o material do TCE RS</t>
        </r>
      </text>
    </comment>
    <comment ref="C18" authorId="0">
      <text>
        <r>
          <rPr>
            <sz val="11"/>
            <color theme="1"/>
            <rFont val="Calibri"/>
            <scheme val="minor"/>
          </rPr>
          <t>======
ID#AAAATiyuCC8
Mara    (2021-12-21 11:55:58)
Orientação do cálculo na apostila e de acordo com o material do TCE RS</t>
        </r>
      </text>
    </comment>
    <comment ref="B19" authorId="0">
      <text>
        <r>
          <rPr>
            <sz val="11"/>
            <color theme="1"/>
            <rFont val="Calibri"/>
            <scheme val="minor"/>
          </rPr>
          <t>======
ID#AAAATiyuCDQ
Mara    (2021-12-21 11:55:58)
Corresponde aos encargos sobre valores pagos aos trabalhadores
como salário em dias em que não há prestação de serviços</t>
        </r>
      </text>
    </comment>
    <comment ref="B26" authorId="0">
      <text>
        <r>
          <rPr>
            <sz val="11"/>
            <color theme="1"/>
            <rFont val="Calibri"/>
            <scheme val="minor"/>
          </rPr>
          <t>======
ID#AAAATiyuCEc
Mara    (2021-12-21 11:55:58)
Encargos sobre valores pagos aos
empregados, mas que não sofrem incidência direta dos encargos do Grupo A</t>
        </r>
      </text>
    </comment>
    <comment ref="B30" authorId="0">
      <text>
        <r>
          <rPr>
            <sz val="11"/>
            <color theme="1"/>
            <rFont val="Calibri"/>
            <scheme val="minor"/>
          </rPr>
          <t>======
ID#AAAATiyuCD8
Mara    (2021-12-21 11:55:58)
Corresponde ao percentual de encargos sociais originado da
reincidência de um encargo ou grupo de encargos sobre outro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jvZXPvv9y8OFZ05Lp4r/TMuQJtQ=="/>
    </ext>
  </extLst>
</comments>
</file>

<file path=xl/comments3.xml><?xml version="1.0" encoding="utf-8"?>
<comments xmlns="http://schemas.openxmlformats.org/spreadsheetml/2006/main">
  <authors>
    <author/>
  </authors>
  <commentList>
    <comment ref="A1" authorId="0">
      <text>
        <r>
          <rPr>
            <sz val="11"/>
            <color theme="1"/>
            <rFont val="Calibri"/>
            <scheme val="minor"/>
          </rPr>
          <t>======
ID#AAAATiyuCE8
Mara    (2021-12-21 11:55:58)
É o percentual referente ao tempo em que os equipamentos, veículos e mão de obra ficam envolvidos com a prestação dos serviços contratados. É calculado em função das horas trabalhadas por semana no cumprimento do contrato.</t>
        </r>
      </text>
    </comment>
    <comment ref="B1" authorId="0">
      <text>
        <r>
          <rPr>
            <sz val="11"/>
            <color theme="1"/>
            <rFont val="Calibri"/>
            <scheme val="minor"/>
          </rPr>
          <t>======
ID#AAAATiyuCBg
Mara    (2021-12-21 11:55:58)
Informar o fator de utilização das equipes de coleta. 
Por exemplo:
Equipes com utilização integral = 100%
Equipes com utilização parcial = n° horas trabalhadas por semana /44 horas. Ex. 16/44=0,3636 * 100 = 36,36%</t>
        </r>
      </text>
    </comment>
    <comment ref="D6" authorId="0">
      <text>
        <r>
          <rPr>
            <sz val="11"/>
            <color theme="1"/>
            <rFont val="Calibri"/>
            <scheme val="minor"/>
          </rPr>
          <t>======
ID#AAAATiyuCDg
Mara    (2021-12-21 11:55:58)
Informar o Piso da categoria fixado na Convenção Coletiva</t>
        </r>
      </text>
    </comment>
    <comment ref="D7" authorId="0">
      <text>
        <r>
          <rPr>
            <sz val="11"/>
            <color theme="1"/>
            <rFont val="Calibri"/>
            <scheme val="minor"/>
          </rPr>
          <t>======
ID#AAAATiyuCFA
Mara    (2021-12-21 11:55:58)
Informar o valor do salário Mínimo Nacional</t>
        </r>
      </text>
    </comment>
    <comment ref="C8" authorId="0">
      <text>
        <r>
          <rPr>
            <sz val="11"/>
            <color theme="1"/>
            <rFont val="Calibri"/>
            <scheme val="minor"/>
          </rPr>
          <t>======
ID#AAAATiyuCDs
Mara    (2021-12-21 11:55:58)
Informar o número de horas extras trabalhadas em horário diurno nos domingos e feriados</t>
        </r>
      </text>
    </comment>
    <comment ref="C9" authorId="0">
      <text>
        <r>
          <rPr>
            <sz val="11"/>
            <color theme="1"/>
            <rFont val="Calibri"/>
            <scheme val="minor"/>
          </rPr>
          <t>======
ID#AAAATiyuCE0
Mara    (2021-12-21 11:55:58)
Informar o número de horas extras trabalhadas em horário diurno de segunda a sábado</t>
        </r>
      </text>
    </comment>
    <comment ref="A10" authorId="0">
      <text>
        <r>
          <rPr>
            <sz val="11"/>
            <color theme="1"/>
            <rFont val="Calibri"/>
            <scheme val="minor"/>
          </rPr>
          <t>======
ID#AAAATiyuCCE
Clauber Bridi    (2021-12-21 11:55:58)
Cálculo do descanso semanal remunerado incidente sobre as horas extras habitualmente prestadas. Considerada a média de 63 feriados + domingos e 302 dias trabalhados por ano</t>
        </r>
      </text>
    </comment>
    <comment ref="C11" authorId="0">
      <text>
        <r>
          <rPr>
            <sz val="11"/>
            <color theme="1"/>
            <rFont val="Calibri"/>
            <scheme val="minor"/>
          </rPr>
          <t>======
ID#AAAATiyuCEI
Mara    (2021-12-21 11:55:58)
Informar 1 se a base de cálculo for o Salário Mínimo Nacional; Informar 2 se a base de cálculo for o Piso da Categoria;</t>
        </r>
      </text>
    </comment>
    <comment ref="C12" authorId="0">
      <text>
        <r>
          <rPr>
            <sz val="11"/>
            <color theme="1"/>
            <rFont val="Calibri"/>
            <scheme val="minor"/>
          </rPr>
          <t>======
ID#AAAATiyuCCw
Mara    (2021-12-21 11:55:58)
Percentual estabelecido nas Normas de Segurança de Trabalho ou pelo laudo de responsável técnico devidamente habilitado</t>
        </r>
      </text>
    </comment>
    <comment ref="C14" authorId="0">
      <text>
        <r>
          <rPr>
            <sz val="11"/>
            <color theme="1"/>
            <rFont val="Calibri"/>
            <scheme val="minor"/>
          </rPr>
          <t>======
ID#AAAATiyuCDc
Mara    (2021-12-21 11:55:58)
Preencher a planilha Encargos Sociais e CAGED</t>
        </r>
      </text>
    </comment>
    <comment ref="C16" authorId="0">
      <text>
        <r>
          <rPr>
            <sz val="11"/>
            <color theme="1"/>
            <rFont val="Calibri"/>
            <scheme val="minor"/>
          </rPr>
          <t>======
ID#AAAATiyuCB8
Mara    (2021-12-21 11:55:58)
Informar a quantidade de trabalhadores na função</t>
        </r>
      </text>
    </comment>
    <comment ref="D21" authorId="0">
      <text>
        <r>
          <rPr>
            <sz val="11"/>
            <color theme="1"/>
            <rFont val="Calibri"/>
            <scheme val="minor"/>
          </rPr>
          <t>======
ID#AAAATiyuCEM
Mara    (2021-12-21 11:55:58)
Informar o valor unitário do VT no município</t>
        </r>
      </text>
    </comment>
    <comment ref="C22" authorId="0">
      <text>
        <r>
          <rPr>
            <sz val="11"/>
            <color theme="1"/>
            <rFont val="Calibri"/>
            <scheme val="minor"/>
          </rPr>
          <t>======
ID#AAAATiyuCEQ
Mara    (2021-12-21 11:55:58)
Informar o número médio de dias trabalhados por mês</t>
        </r>
      </text>
    </comment>
    <comment ref="D23" authorId="0">
      <text>
        <r>
          <rPr>
            <sz val="11"/>
            <color theme="1"/>
            <rFont val="Calibri"/>
            <scheme val="minor"/>
          </rPr>
          <t>======
ID#AAAATiyuCDI
Clauber Bridi    (2021-12-21 11:55:58)
Valor Unitário considerando o desconto legal de até 6% do salário</t>
        </r>
      </text>
    </comment>
    <comment ref="D28" authorId="0">
      <text>
        <r>
          <rPr>
            <sz val="11"/>
            <color theme="1"/>
            <rFont val="Calibri"/>
            <scheme val="minor"/>
          </rPr>
          <t>======
ID#AAAATiyuCBc
Mara    (2021-12-21 11:55:58)
Informar o valor unitário diário do vale refeição, considerando o desconto aplicável ao funcionário, conforme Convenção Coletiva da categoria.</t>
        </r>
      </text>
    </comment>
    <comment ref="D33" authorId="0">
      <text>
        <r>
          <rPr>
            <sz val="11"/>
            <color theme="1"/>
            <rFont val="Calibri"/>
            <scheme val="minor"/>
          </rPr>
          <t>======
ID#AAAATiyuCEE
Mara    (2021-12-21 11:55:58)
Informar o valor mensal do auxilio alimentação, considerando o desconto aplicável ao funcionário, conforme Convenção Coletiva da categoria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M5dlB/fX64PDUeQGU0i6ljw5/UA=="/>
    </ext>
  </extLst>
</comments>
</file>

<file path=xl/comments4.xml><?xml version="1.0" encoding="utf-8"?>
<comments xmlns="http://schemas.openxmlformats.org/spreadsheetml/2006/main">
  <authors>
    <author/>
  </authors>
  <commentList>
    <comment ref="A2" authorId="0">
      <text>
        <r>
          <rPr>
            <sz val="11"/>
            <color theme="1"/>
            <rFont val="Calibri"/>
            <scheme val="minor"/>
          </rPr>
          <t>======
ID#AAAATiyuCBk
Mara    (2021-12-21 11:55:58)
Não devem incluir IRPJ ou CSLL conforme jurisprudência do TCU</t>
        </r>
      </text>
    </comment>
    <comment ref="C3" authorId="0">
      <text>
        <r>
          <rPr>
            <sz val="11"/>
            <color theme="1"/>
            <rFont val="Calibri"/>
            <scheme val="minor"/>
          </rPr>
          <t>======
ID#AAAATiyuCEY
Mara    (2021-12-21 11:55:58)
Informar o % de Administração Central estimado</t>
        </r>
      </text>
    </comment>
    <comment ref="C4" authorId="0">
      <text>
        <r>
          <rPr>
            <sz val="11"/>
            <color theme="1"/>
            <rFont val="Calibri"/>
            <scheme val="minor"/>
          </rPr>
          <t>======
ID#AAAATiyuCCs
Mara    (2021-12-21 11:55:58)
Informar o % de Seguros, Riscos e Garantia estimado</t>
        </r>
      </text>
    </comment>
    <comment ref="C5" authorId="0">
      <text>
        <r>
          <rPr>
            <sz val="11"/>
            <color theme="1"/>
            <rFont val="Calibri"/>
            <scheme val="minor"/>
          </rPr>
          <t>======
ID#AAAATiyuCFE
Mara    (2021-12-21 11:55:58)
Informar o % de Lucro estimado</t>
        </r>
      </text>
    </comment>
    <comment ref="E6" authorId="0">
      <text>
        <r>
          <rPr>
            <sz val="11"/>
            <color theme="1"/>
            <rFont val="Calibri"/>
            <scheme val="minor"/>
          </rPr>
          <t>======
ID#AAAATiyuCCM
Mara    (2021-12-21 11:55:58)
Informar o valor anual da taxa financeira, em percentual. Admite-se utilizar a SELIC</t>
        </r>
      </text>
    </comment>
    <comment ref="C7" authorId="0">
      <text>
        <r>
          <rPr>
            <sz val="11"/>
            <color theme="1"/>
            <rFont val="Calibri"/>
            <scheme val="minor"/>
          </rPr>
          <t>======
ID#AAAATiyuCCA
Mara    (2021-12-21 11:55:58)
Informar o percentual de ISS, de acordo com a legislação tributária do município onde serão prestados os serviços. De 2% até o limite de 5%.</t>
        </r>
      </text>
    </comment>
    <comment ref="E7" authorId="0">
      <text>
        <r>
          <rPr>
            <sz val="11"/>
            <color theme="1"/>
            <rFont val="Calibri"/>
            <scheme val="minor"/>
          </rPr>
          <t>======
ID#AAAATiyuCCU
Mara    (2021-12-21 11:55:58)
Informar a média de dias úteis entre data de pagamento prevista no contrato e a data final do período de adimplemento da parcela</t>
        </r>
      </text>
    </comment>
    <comment ref="C8" authorId="0">
      <text>
        <r>
          <rPr>
            <sz val="11"/>
            <color theme="1"/>
            <rFont val="Calibri"/>
            <scheme val="minor"/>
          </rPr>
          <t>======
ID#AAAATiyuCCY
Mara    (2021-12-21 11:55:58)
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IGDWp5ccHomLYTTqnHMdnzIcyyQ=="/>
    </ext>
  </extLst>
</comments>
</file>

<file path=xl/sharedStrings.xml><?xml version="1.0" encoding="utf-8"?>
<sst xmlns="http://schemas.openxmlformats.org/spreadsheetml/2006/main" count="353" uniqueCount="234">
  <si>
    <t>Planilha de custos transporte saúde</t>
  </si>
  <si>
    <t xml:space="preserve">CCT RS004454/2025 - SINTRAULIN </t>
  </si>
  <si>
    <t>1. CAGED</t>
  </si>
  <si>
    <t>Rio Grande do Sul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</si>
  <si>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</si>
  <si>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</si>
  <si>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</si>
  <si>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</si>
  <si>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</si>
  <si>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</si>
  <si>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</si>
  <si>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</si>
  <si>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</si>
  <si>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</si>
  <si>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</si>
  <si>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</si>
  <si>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recuperado início do Período 01-12-2018</t>
  </si>
  <si>
    <t>Estoque recuperado final do Período 30-11-2019</t>
  </si>
  <si>
    <t>Variação Emprego Absoluta de 01-12-2018 a 30-11-2019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</si>
  <si>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</si>
  <si>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</si>
  <si>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</si>
  <si>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</si>
  <si>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</si>
  <si>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</si>
  <si>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</si>
  <si>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</si>
  <si>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</si>
  <si>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FGTS</t>
  </si>
  <si>
    <t>Multa FGTS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</si>
  <si>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</si>
  <si>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</si>
  <si>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</si>
  <si>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</si>
  <si>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</si>
  <si>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</si>
  <si>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</si>
  <si>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</si>
  <si>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</si>
  <si>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</si>
  <si>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</si>
  <si>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</si>
  <si>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</si>
  <si>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</si>
  <si>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</si>
  <si>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</si>
  <si>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</si>
  <si>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</si>
  <si>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</si>
  <si>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</si>
  <si>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</si>
  <si>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</si>
  <si>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</si>
  <si>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</si>
  <si>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</si>
  <si>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</si>
  <si>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</si>
  <si>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</si>
  <si>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</si>
  <si>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</si>
  <si>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</si>
  <si>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</si>
  <si>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</si>
  <si>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</si>
  <si>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</si>
  <si>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</si>
  <si>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</si>
  <si>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</si>
  <si>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</si>
  <si>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</si>
  <si>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</si>
  <si>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</si>
  <si>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</si>
  <si>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</si>
  <si>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</si>
  <si>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</si>
  <si>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</si>
  <si>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</si>
  <si>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</si>
  <si>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</si>
  <si>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</si>
  <si>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</si>
  <si>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</si>
  <si>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</si>
  <si>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Fator de utilização (FU)</t>
  </si>
  <si>
    <t>3. Composição da mão-de-obra</t>
  </si>
  <si>
    <t>3.1. Motorista Turno do Dia</t>
  </si>
  <si>
    <t>Discriminação</t>
  </si>
  <si>
    <t>Unidade</t>
  </si>
  <si>
    <t>Quantidade</t>
  </si>
  <si>
    <t>Custo unitário</t>
  </si>
  <si>
    <t>Subtotal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</si>
  <si>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</si>
  <si>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Piso da categoria (2)</t>
  </si>
  <si>
    <t>mês</t>
  </si>
  <si>
    <t>Salário mínimo nacional (1)</t>
  </si>
  <si>
    <t>Horas Extras (100%)</t>
  </si>
  <si>
    <t>hora</t>
  </si>
  <si>
    <t>Horas Extras (50%)</t>
  </si>
  <si>
    <t>Descanso Semanal Remunerado (DSR) - hora extra</t>
  </si>
  <si>
    <t>R$</t>
  </si>
  <si>
    <t>Base de cálculo da Insalubridade</t>
  </si>
  <si>
    <t>Adicional de Insalubridade</t>
  </si>
  <si>
    <t>%</t>
  </si>
  <si>
    <t>Soma</t>
  </si>
  <si>
    <t>Encargos Sociais</t>
  </si>
  <si>
    <t>Total por Motorista</t>
  </si>
  <si>
    <t>Total do Efetivo</t>
  </si>
  <si>
    <t>homem</t>
  </si>
  <si>
    <t>Fator de utilização</t>
  </si>
  <si>
    <t>3.3. Vale Transporte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</si>
  <si>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</si>
  <si>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Vale Transporte</t>
  </si>
  <si>
    <t>Dias Trabalhados por mês</t>
  </si>
  <si>
    <t>dia</t>
  </si>
  <si>
    <t>Motorista</t>
  </si>
  <si>
    <t>vale</t>
  </si>
  <si>
    <t>3.4. Vale-refeição (diário)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</si>
  <si>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</si>
  <si>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unidade</t>
  </si>
  <si>
    <t>3.5. Auxílio Alimentação (mensal)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</si>
  <si>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</si>
  <si>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TOTAL MÃO-DE-OBRA</t>
  </si>
  <si>
    <t>R$/mês</t>
  </si>
  <si>
    <t>4. Veículos</t>
  </si>
  <si>
    <t>Dados de Depreciação</t>
  </si>
  <si>
    <t>Valor inicial veículo</t>
  </si>
  <si>
    <t>Vida útil estimada</t>
  </si>
  <si>
    <t>anos</t>
  </si>
  <si>
    <t>% de depreciação</t>
  </si>
  <si>
    <t>Valor residual</t>
  </si>
  <si>
    <t>Vida útil utilizada (idade do veículo)</t>
  </si>
  <si>
    <t>Depreciação acumulada</t>
  </si>
  <si>
    <t>4. 1. Depreciação e Remuneração de Capital</t>
  </si>
  <si>
    <t>4.1.1. Depreciação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</si>
  <si>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</si>
  <si>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de aquisição (valor inicial)</t>
  </si>
  <si>
    <t>Vida útil</t>
  </si>
  <si>
    <t>Idade do veículo</t>
  </si>
  <si>
    <t>Depreciação do chassis</t>
  </si>
  <si>
    <t>Depreciação mensal veículos</t>
  </si>
  <si>
    <t>Total por veículo</t>
  </si>
  <si>
    <t>Total da frota</t>
  </si>
  <si>
    <t>4.1.2. Remuneração do Capital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</si>
  <si>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</si>
  <si>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do chassis</t>
  </si>
  <si>
    <t>Taxa de juros anual nominal</t>
  </si>
  <si>
    <t>Valor do veículo proposto (V0)*</t>
  </si>
  <si>
    <t>Investimento médio</t>
  </si>
  <si>
    <t>Remuneração mensal de capital do chassis</t>
  </si>
  <si>
    <t>*valor do veículo proposto (para veículos usados) devem considerar o valor do bem depreciado até a data da proposta.</t>
  </si>
  <si>
    <t>CUSTO TOTAL DEPRECIAÇÃO E REMUNERAÇÃO DE CAPITAL</t>
  </si>
  <si>
    <t>5. Impostos e manutenção</t>
  </si>
  <si>
    <t>5.1. Impostos e Seguros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</si>
  <si>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</si>
  <si>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IPVA</t>
  </si>
  <si>
    <t>Licenciamento e Seguro obrigatório</t>
  </si>
  <si>
    <t>Seguro de passageiros e seguro total</t>
  </si>
  <si>
    <t>Impostos e seguros mensais</t>
  </si>
  <si>
    <t>5.2. Consumos</t>
  </si>
  <si>
    <t>Tipo de veículo/modelo:</t>
  </si>
  <si>
    <t>Ônibus</t>
  </si>
  <si>
    <t>Combustível utilizado:</t>
  </si>
  <si>
    <t>Diesel</t>
  </si>
  <si>
    <t>Quilometragem mensal</t>
  </si>
  <si>
    <t>Consumo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</si>
  <si>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</si>
  <si>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do combustível / km rodado</t>
  </si>
  <si>
    <t>km/l</t>
  </si>
  <si>
    <t>Custo mensal com combustível</t>
  </si>
  <si>
    <t>km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</si>
  <si>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</si>
  <si>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</si>
  <si>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</si>
  <si>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</si>
  <si>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</si>
  <si>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</si>
  <si>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</si>
  <si>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</si>
  <si>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</si>
  <si>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</si>
  <si>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</si>
  <si>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</si>
  <si>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5.3. Manutenção preventiva e corretiva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</si>
  <si>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</si>
  <si>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de manutenção</t>
  </si>
  <si>
    <t>Vistoria Semestral</t>
  </si>
  <si>
    <t>5.4. Pneus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</si>
  <si>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</si>
  <si>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Número de recapagens por pneu</t>
  </si>
  <si>
    <t>Custo de recapagem</t>
  </si>
  <si>
    <r>
      <rPr>
        <sz val="10"/>
        <color theme="1"/>
        <rFont val="Arial"/>
      </rPr>
      <t>Custo jg. compl. + 1</t>
    </r>
    <r>
      <rPr>
        <sz val="10"/>
        <color theme="1"/>
        <rFont val="Arial"/>
      </rPr>
      <t xml:space="preserve"> recap./ km rodado</t>
    </r>
  </si>
  <si>
    <t>km/jogo</t>
  </si>
  <si>
    <t>Custo mensal com pneus</t>
  </si>
  <si>
    <t>5.5. Pedágio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</si>
  <si>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</si>
  <si>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mensal com pedágio (3 eixos)</t>
  </si>
  <si>
    <t>CUSTO TOTAL DE IMPOSTOS E MANUTENÇÃO</t>
  </si>
  <si>
    <t>6. Monitoramento da Frota</t>
  </si>
  <si>
    <r>
      <rPr>
        <b/>
        <sz val="9"/>
        <color theme="1"/>
        <rFont val="Arial"/>
      </rPr>
      <t>Total</t>
    </r>
    <r>
      <rPr>
        <b/>
        <u/>
        <sz val="9"/>
        <color theme="1"/>
        <rFont val="Arial"/>
      </rPr>
      <t xml:space="preserve"> (R$)</t>
    </r>
  </si>
  <si>
    <t>Implantação dos equipamentos de monitoramento</t>
  </si>
  <si>
    <t>cj</t>
  </si>
  <si>
    <t>Custo mensal com implantação</t>
  </si>
  <si>
    <t>Manutenção dos equipamentos de monitoramento</t>
  </si>
  <si>
    <t>Custo mensal com manutenção</t>
  </si>
  <si>
    <t>Custo Mensal com Monitoramento da Frota (R$/mês)</t>
  </si>
  <si>
    <t>CUSTO TOTAL SEM BDI</t>
  </si>
  <si>
    <t>CUSTO MENSAL COM BDI (R$/mês)</t>
  </si>
  <si>
    <t>Transporte Escolar - Planilha de composição de custos</t>
  </si>
  <si>
    <t>Custo (R$/mês)</t>
  </si>
  <si>
    <t>PREÇO TOTAL MENSAL (1+2+3)</t>
  </si>
  <si>
    <t>Valor do Quilômetro</t>
  </si>
  <si>
    <t xml:space="preserve">Valor diário </t>
  </si>
  <si>
    <t>7. Composição do BDI - Benefícios e Despesas Indiretas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</si>
  <si>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</si>
  <si>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</si>
  <si>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</si>
  <si>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</si>
  <si>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</si>
  <si>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</si>
  <si>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</si>
  <si>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</si>
  <si>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</si>
  <si>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</si>
  <si>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</si>
  <si>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</si>
  <si>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</si>
  <si>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</si>
  <si>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</si>
  <si>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</si>
  <si>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CUSTO TOTAL MENSAL COM DESPESAS OPERACIONAIS</t>
  </si>
  <si>
    <t>6.1. Benefícios e Despesas Indiretas - BDI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</si>
  <si>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</si>
  <si>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Benefícios e despesas indiretas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</si>
</sst>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_(* #,##0.00_);_(* \(#,##0.00\);_(* &quot;-&quot;??_);_(@_)"/>
    <numFmt numFmtId="166" formatCode="_(* #,##0_);_(* \(#,##0\);_(* &quot;-&quot;??_);_(@_)"/>
    <numFmt numFmtId="167" formatCode="[$R$ -416]#,##0.00"/>
    <numFmt numFmtId="168" formatCode="_-* #,##0.00_-;\-* #,##0.00_-;_-* &quot;-&quot;??_-;_-@"/>
    <numFmt numFmtId="169" formatCode="_(* #,##0.000_);_(* \(#,##0.000\);_(* &quot;-&quot;??_);_(@_)"/>
    <numFmt numFmtId="170" formatCode="_(* #,##0.000000_);_(* \(#,##0.000000\);_(* &quot;-&quot;??.0000_);_(@_)"/>
  </numFmts>
  <fonts count="22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b/>
      <sz val="9"/>
      <color theme="1"/>
      <name val="Arial"/>
    </font>
    <font>
      <sz val="11"/>
      <color rgb="FF000000"/>
      <name val="Arial"/>
    </font>
    <font>
      <b/>
      <sz val="11"/>
      <color theme="1"/>
      <name val="Calibri"/>
    </font>
    <font>
      <b/>
      <u/>
      <sz val="11"/>
      <color theme="1"/>
      <name val="Calibri"/>
    </font>
    <font>
      <sz val="11"/>
      <color rgb="FFFF0000"/>
      <name val="Calibri"/>
    </font>
    <font>
      <u/>
      <sz val="12"/>
      <color rgb="FF0000FF"/>
      <name val="Arial"/>
    </font>
    <font>
      <sz val="8"/>
      <color theme="1"/>
      <name val="Arial"/>
    </font>
    <font>
      <b/>
      <sz val="9"/>
      <color rgb="FF000000"/>
      <name val="Arial"/>
    </font>
    <font>
      <u/>
      <sz val="11"/>
      <color theme="1"/>
      <name val="Arial"/>
    </font>
    <font>
      <b/>
      <u/>
      <sz val="9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6AA84F"/>
        <bgColor rgb="FF6AA84F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7">
    <xf numFmtId="0" fontId="0" fillId="0" borderId="0" xfId="0" applyFont="1" applyAlignment="1"/>
    <xf numFmtId="0" fontId="2" fillId="0" borderId="0" xfId="0" applyFont="1" applyAlignment="1"/>
    <xf numFmtId="0" fontId="5" fillId="0" borderId="3" xfId="0" applyFont="1" applyBorder="1" applyAlignment="1"/>
    <xf numFmtId="0" fontId="6" fillId="0" borderId="4" xfId="0" applyFont="1" applyBorder="1"/>
    <xf numFmtId="0" fontId="5" fillId="0" borderId="5" xfId="0" applyFont="1" applyBorder="1"/>
    <xf numFmtId="0" fontId="5" fillId="3" borderId="6" xfId="0" applyFont="1" applyFill="1" applyBorder="1"/>
    <xf numFmtId="0" fontId="5" fillId="0" borderId="7" xfId="0" applyFont="1" applyBorder="1"/>
    <xf numFmtId="0" fontId="6" fillId="0" borderId="7" xfId="0" applyFont="1" applyBorder="1"/>
    <xf numFmtId="0" fontId="6" fillId="3" borderId="6" xfId="0" applyFont="1" applyFill="1" applyBorder="1"/>
    <xf numFmtId="0" fontId="6" fillId="0" borderId="5" xfId="0" applyFont="1" applyBorder="1"/>
    <xf numFmtId="0" fontId="6" fillId="3" borderId="8" xfId="0" applyFont="1" applyFill="1" applyBorder="1"/>
    <xf numFmtId="0" fontId="6" fillId="0" borderId="9" xfId="0" applyFont="1" applyBorder="1"/>
    <xf numFmtId="0" fontId="5" fillId="0" borderId="3" xfId="0" applyFont="1" applyBorder="1"/>
    <xf numFmtId="0" fontId="6" fillId="0" borderId="10" xfId="0" applyFont="1" applyBorder="1"/>
    <xf numFmtId="0" fontId="6" fillId="3" borderId="11" xfId="0" applyFont="1" applyFill="1" applyBorder="1"/>
    <xf numFmtId="0" fontId="6" fillId="0" borderId="6" xfId="0" applyFont="1" applyBorder="1"/>
    <xf numFmtId="0" fontId="6" fillId="0" borderId="12" xfId="0" applyFont="1" applyBorder="1"/>
    <xf numFmtId="0" fontId="6" fillId="0" borderId="13" xfId="0" applyFont="1" applyBorder="1"/>
    <xf numFmtId="0" fontId="5" fillId="0" borderId="14" xfId="0" applyFont="1" applyBorder="1"/>
    <xf numFmtId="10" fontId="5" fillId="0" borderId="6" xfId="0" applyNumberFormat="1" applyFont="1" applyBorder="1"/>
    <xf numFmtId="164" fontId="5" fillId="0" borderId="6" xfId="0" applyNumberFormat="1" applyFont="1" applyBorder="1"/>
    <xf numFmtId="0" fontId="5" fillId="0" borderId="6" xfId="0" applyFont="1" applyBorder="1"/>
    <xf numFmtId="9" fontId="5" fillId="0" borderId="6" xfId="0" applyNumberFormat="1" applyFont="1" applyBorder="1"/>
    <xf numFmtId="0" fontId="5" fillId="0" borderId="15" xfId="0" applyFont="1" applyBorder="1"/>
    <xf numFmtId="9" fontId="5" fillId="0" borderId="16" xfId="0" applyNumberFormat="1" applyFont="1" applyBorder="1"/>
    <xf numFmtId="0" fontId="7" fillId="0" borderId="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0" fontId="7" fillId="0" borderId="6" xfId="0" applyNumberFormat="1" applyFont="1" applyBorder="1" applyAlignment="1">
      <alignment horizontal="right" vertical="center"/>
    </xf>
    <xf numFmtId="0" fontId="8" fillId="5" borderId="18" xfId="0" applyFont="1" applyFill="1" applyBorder="1" applyAlignment="1">
      <alignment horizontal="left" vertical="center"/>
    </xf>
    <xf numFmtId="10" fontId="8" fillId="0" borderId="6" xfId="0" applyNumberFormat="1" applyFont="1" applyBorder="1" applyAlignment="1">
      <alignment horizontal="right" vertical="center"/>
    </xf>
    <xf numFmtId="0" fontId="7" fillId="6" borderId="7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10" fontId="8" fillId="6" borderId="6" xfId="0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10" fontId="6" fillId="0" borderId="6" xfId="0" applyNumberFormat="1" applyFont="1" applyBorder="1" applyAlignment="1">
      <alignment horizontal="right" vertical="center"/>
    </xf>
    <xf numFmtId="10" fontId="7" fillId="5" borderId="6" xfId="0" applyNumberFormat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10" fontId="8" fillId="5" borderId="21" xfId="0" applyNumberFormat="1" applyFont="1" applyFill="1" applyBorder="1" applyAlignment="1">
      <alignment horizontal="right" vertical="center"/>
    </xf>
    <xf numFmtId="165" fontId="9" fillId="4" borderId="22" xfId="0" applyNumberFormat="1" applyFont="1" applyFill="1" applyBorder="1" applyAlignment="1">
      <alignment vertical="center"/>
    </xf>
    <xf numFmtId="10" fontId="9" fillId="3" borderId="23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1" fillId="0" borderId="0" xfId="0" applyFont="1"/>
    <xf numFmtId="0" fontId="12" fillId="7" borderId="27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165" fontId="12" fillId="7" borderId="28" xfId="0" applyNumberFormat="1" applyFont="1" applyFill="1" applyBorder="1" applyAlignment="1">
      <alignment horizontal="center" vertical="center"/>
    </xf>
    <xf numFmtId="165" fontId="12" fillId="7" borderId="29" xfId="0" applyNumberFormat="1" applyFont="1" applyFill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165" fontId="13" fillId="3" borderId="0" xfId="0" applyNumberFormat="1" applyFont="1" applyFill="1" applyAlignment="1"/>
    <xf numFmtId="165" fontId="10" fillId="0" borderId="30" xfId="0" applyNumberFormat="1" applyFont="1" applyBorder="1" applyAlignment="1">
      <alignment horizontal="center" vertical="center"/>
    </xf>
    <xf numFmtId="0" fontId="2" fillId="8" borderId="0" xfId="0" applyFont="1" applyFill="1"/>
    <xf numFmtId="20" fontId="2" fillId="0" borderId="0" xfId="0" applyNumberFormat="1" applyFont="1" applyAlignment="1"/>
    <xf numFmtId="2" fontId="10" fillId="3" borderId="18" xfId="0" applyNumberFormat="1" applyFont="1" applyFill="1" applyBorder="1" applyAlignment="1">
      <alignment horizontal="right" vertical="center"/>
    </xf>
    <xf numFmtId="20" fontId="11" fillId="0" borderId="0" xfId="0" applyNumberFormat="1" applyFont="1"/>
    <xf numFmtId="0" fontId="10" fillId="0" borderId="18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2" fontId="10" fillId="3" borderId="18" xfId="0" applyNumberFormat="1" applyFont="1" applyFill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10" fillId="9" borderId="18" xfId="0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 vertical="center"/>
    </xf>
    <xf numFmtId="165" fontId="10" fillId="0" borderId="18" xfId="0" applyNumberFormat="1" applyFont="1" applyBorder="1" applyAlignment="1">
      <alignment vertical="center"/>
    </xf>
    <xf numFmtId="165" fontId="9" fillId="7" borderId="2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66" fontId="10" fillId="0" borderId="18" xfId="0" applyNumberFormat="1" applyFont="1" applyBorder="1" applyAlignment="1">
      <alignment horizontal="center" vertical="center"/>
    </xf>
    <xf numFmtId="165" fontId="10" fillId="3" borderId="32" xfId="0" applyNumberFormat="1" applyFont="1" applyFill="1" applyBorder="1" applyAlignment="1">
      <alignment vertical="center"/>
    </xf>
    <xf numFmtId="0" fontId="10" fillId="3" borderId="32" xfId="0" applyFont="1" applyFill="1" applyBorder="1" applyAlignment="1">
      <alignment vertical="center"/>
    </xf>
    <xf numFmtId="166" fontId="10" fillId="0" borderId="18" xfId="0" applyNumberFormat="1" applyFont="1" applyBorder="1" applyAlignment="1">
      <alignment vertical="center"/>
    </xf>
    <xf numFmtId="165" fontId="9" fillId="7" borderId="33" xfId="0" applyNumberFormat="1" applyFont="1" applyFill="1" applyBorder="1" applyAlignment="1">
      <alignment vertical="center"/>
    </xf>
    <xf numFmtId="165" fontId="10" fillId="3" borderId="18" xfId="0" applyNumberFormat="1" applyFont="1" applyFill="1" applyBorder="1" applyAlignment="1">
      <alignment horizontal="center" vertical="center"/>
    </xf>
    <xf numFmtId="165" fontId="12" fillId="7" borderId="18" xfId="0" applyNumberFormat="1" applyFont="1" applyFill="1" applyBorder="1" applyAlignment="1">
      <alignment horizontal="center" vertical="center"/>
    </xf>
    <xf numFmtId="165" fontId="13" fillId="3" borderId="18" xfId="0" applyNumberFormat="1" applyFont="1" applyFill="1" applyBorder="1" applyAlignment="1"/>
    <xf numFmtId="0" fontId="14" fillId="4" borderId="33" xfId="0" applyFont="1" applyFill="1" applyBorder="1"/>
    <xf numFmtId="0" fontId="1" fillId="4" borderId="34" xfId="0" applyFont="1" applyFill="1" applyBorder="1"/>
    <xf numFmtId="165" fontId="14" fillId="4" borderId="33" xfId="0" applyNumberFormat="1" applyFont="1" applyFill="1" applyBorder="1"/>
    <xf numFmtId="0" fontId="15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4" fontId="1" fillId="3" borderId="32" xfId="0" applyNumberFormat="1" applyFont="1" applyFill="1" applyBorder="1" applyAlignment="1"/>
    <xf numFmtId="0" fontId="16" fillId="0" borderId="0" xfId="0" applyFont="1"/>
    <xf numFmtId="167" fontId="16" fillId="0" borderId="0" xfId="0" applyNumberFormat="1" applyFont="1"/>
    <xf numFmtId="3" fontId="1" fillId="3" borderId="32" xfId="0" applyNumberFormat="1" applyFont="1" applyFill="1" applyBorder="1" applyAlignment="1"/>
    <xf numFmtId="4" fontId="1" fillId="0" borderId="0" xfId="0" applyNumberFormat="1" applyFont="1"/>
    <xf numFmtId="0" fontId="1" fillId="3" borderId="32" xfId="0" applyFont="1" applyFill="1" applyBorder="1" applyAlignment="1"/>
    <xf numFmtId="168" fontId="1" fillId="0" borderId="0" xfId="0" applyNumberFormat="1" applyFont="1"/>
    <xf numFmtId="9" fontId="14" fillId="0" borderId="0" xfId="0" applyNumberFormat="1" applyFont="1"/>
    <xf numFmtId="0" fontId="17" fillId="0" borderId="0" xfId="0" applyFont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165" fontId="10" fillId="8" borderId="37" xfId="0" applyNumberFormat="1" applyFont="1" applyFill="1" applyBorder="1" applyAlignment="1">
      <alignment horizontal="center" vertical="center"/>
    </xf>
    <xf numFmtId="3" fontId="10" fillId="8" borderId="18" xfId="0" applyNumberFormat="1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8" borderId="18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vertical="center"/>
    </xf>
    <xf numFmtId="165" fontId="9" fillId="0" borderId="39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165" fontId="9" fillId="7" borderId="33" xfId="0" applyNumberFormat="1" applyFont="1" applyFill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0" fontId="12" fillId="7" borderId="41" xfId="0" applyFont="1" applyFill="1" applyBorder="1" applyAlignment="1">
      <alignment horizontal="center" vertical="center"/>
    </xf>
    <xf numFmtId="165" fontId="12" fillId="7" borderId="4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10" borderId="18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vertical="center"/>
    </xf>
    <xf numFmtId="165" fontId="10" fillId="10" borderId="18" xfId="0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10" fillId="3" borderId="18" xfId="0" applyNumberFormat="1" applyFont="1" applyFill="1" applyBorder="1" applyAlignment="1">
      <alignment vertical="center"/>
    </xf>
    <xf numFmtId="3" fontId="10" fillId="3" borderId="18" xfId="0" applyNumberFormat="1" applyFont="1" applyFill="1" applyBorder="1" applyAlignment="1">
      <alignment vertical="center"/>
    </xf>
    <xf numFmtId="14" fontId="11" fillId="0" borderId="0" xfId="0" applyNumberFormat="1" applyFont="1"/>
    <xf numFmtId="4" fontId="10" fillId="3" borderId="18" xfId="0" applyNumberFormat="1" applyFont="1" applyFill="1" applyBorder="1" applyAlignment="1">
      <alignment vertical="center"/>
    </xf>
    <xf numFmtId="0" fontId="10" fillId="8" borderId="37" xfId="0" applyFont="1" applyFill="1" applyBorder="1" applyAlignment="1">
      <alignment vertical="center"/>
    </xf>
    <xf numFmtId="4" fontId="10" fillId="3" borderId="37" xfId="0" applyNumberFormat="1" applyFont="1" applyFill="1" applyBorder="1" applyAlignment="1">
      <alignment horizontal="center" vertical="center"/>
    </xf>
    <xf numFmtId="169" fontId="10" fillId="3" borderId="37" xfId="0" applyNumberFormat="1" applyFont="1" applyFill="1" applyBorder="1" applyAlignment="1">
      <alignment horizontal="center" vertical="center"/>
    </xf>
    <xf numFmtId="0" fontId="1" fillId="8" borderId="0" xfId="0" applyFont="1" applyFill="1"/>
    <xf numFmtId="169" fontId="10" fillId="0" borderId="30" xfId="0" applyNumberFormat="1" applyFont="1" applyBorder="1" applyAlignment="1">
      <alignment horizontal="center" vertical="center"/>
    </xf>
    <xf numFmtId="4" fontId="10" fillId="3" borderId="18" xfId="0" applyNumberFormat="1" applyFont="1" applyFill="1" applyBorder="1" applyAlignment="1">
      <alignment horizontal="center" vertical="center"/>
    </xf>
    <xf numFmtId="165" fontId="10" fillId="3" borderId="18" xfId="0" applyNumberFormat="1" applyFont="1" applyFill="1" applyBorder="1" applyAlignment="1">
      <alignment horizontal="center" vertical="center"/>
    </xf>
    <xf numFmtId="169" fontId="10" fillId="0" borderId="18" xfId="0" applyNumberFormat="1" applyFont="1" applyBorder="1" applyAlignment="1">
      <alignment horizontal="center" vertical="center"/>
    </xf>
    <xf numFmtId="166" fontId="9" fillId="0" borderId="18" xfId="0" applyNumberFormat="1" applyFont="1" applyBorder="1" applyAlignment="1">
      <alignment horizontal="center" vertical="center"/>
    </xf>
    <xf numFmtId="169" fontId="9" fillId="0" borderId="18" xfId="0" applyNumberFormat="1" applyFont="1" applyBorder="1" applyAlignment="1">
      <alignment horizontal="center" vertical="center"/>
    </xf>
    <xf numFmtId="170" fontId="10" fillId="3" borderId="37" xfId="0" applyNumberFormat="1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165" fontId="10" fillId="3" borderId="37" xfId="0" applyNumberFormat="1" applyFont="1" applyFill="1" applyBorder="1" applyAlignment="1">
      <alignment horizontal="center" vertical="center"/>
    </xf>
    <xf numFmtId="3" fontId="10" fillId="3" borderId="1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8" xfId="0" applyFont="1" applyBorder="1" applyAlignment="1">
      <alignment vertical="center"/>
    </xf>
    <xf numFmtId="165" fontId="10" fillId="3" borderId="37" xfId="0" applyNumberFormat="1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165" fontId="1" fillId="0" borderId="0" xfId="0" applyNumberFormat="1" applyFont="1"/>
    <xf numFmtId="0" fontId="1" fillId="0" borderId="18" xfId="0" applyFont="1" applyBorder="1"/>
    <xf numFmtId="165" fontId="1" fillId="0" borderId="18" xfId="0" applyNumberFormat="1" applyFont="1" applyBorder="1"/>
    <xf numFmtId="0" fontId="12" fillId="7" borderId="18" xfId="0" applyFont="1" applyFill="1" applyBorder="1" applyAlignment="1">
      <alignment horizontal="center"/>
    </xf>
    <xf numFmtId="165" fontId="12" fillId="7" borderId="18" xfId="0" applyNumberFormat="1" applyFont="1" applyFill="1" applyBorder="1" applyAlignment="1">
      <alignment horizontal="center"/>
    </xf>
    <xf numFmtId="165" fontId="19" fillId="7" borderId="18" xfId="0" applyNumberFormat="1" applyFont="1" applyFill="1" applyBorder="1" applyAlignment="1">
      <alignment horizontal="center"/>
    </xf>
    <xf numFmtId="2" fontId="10" fillId="0" borderId="18" xfId="0" applyNumberFormat="1" applyFont="1" applyBorder="1" applyAlignment="1">
      <alignment vertical="center"/>
    </xf>
    <xf numFmtId="9" fontId="10" fillId="0" borderId="18" xfId="0" applyNumberFormat="1" applyFont="1" applyBorder="1" applyAlignment="1">
      <alignment vertical="center"/>
    </xf>
    <xf numFmtId="166" fontId="1" fillId="0" borderId="18" xfId="0" applyNumberFormat="1" applyFont="1" applyBorder="1"/>
    <xf numFmtId="0" fontId="9" fillId="4" borderId="22" xfId="0" applyFont="1" applyFill="1" applyBorder="1" applyAlignment="1">
      <alignment vertical="center"/>
    </xf>
    <xf numFmtId="0" fontId="14" fillId="0" borderId="10" xfId="0" applyFont="1" applyBorder="1" applyAlignment="1">
      <alignment horizontal="center"/>
    </xf>
    <xf numFmtId="168" fontId="9" fillId="0" borderId="42" xfId="0" applyNumberFormat="1" applyFont="1" applyBorder="1" applyAlignment="1">
      <alignment horizontal="center" vertical="center"/>
    </xf>
    <xf numFmtId="165" fontId="9" fillId="0" borderId="43" xfId="0" applyNumberFormat="1" applyFont="1" applyBorder="1" applyAlignment="1">
      <alignment horizontal="center" vertical="center"/>
    </xf>
    <xf numFmtId="0" fontId="14" fillId="0" borderId="7" xfId="0" applyFont="1" applyBorder="1"/>
    <xf numFmtId="168" fontId="14" fillId="0" borderId="18" xfId="0" applyNumberFormat="1" applyFont="1" applyBorder="1"/>
    <xf numFmtId="10" fontId="1" fillId="0" borderId="6" xfId="0" applyNumberFormat="1" applyFont="1" applyBorder="1" applyAlignment="1">
      <alignment vertical="center"/>
    </xf>
    <xf numFmtId="0" fontId="1" fillId="0" borderId="7" xfId="0" applyFont="1" applyBorder="1"/>
    <xf numFmtId="168" fontId="1" fillId="0" borderId="18" xfId="0" applyNumberFormat="1" applyFont="1" applyBorder="1"/>
    <xf numFmtId="0" fontId="20" fillId="0" borderId="7" xfId="0" applyFont="1" applyBorder="1"/>
    <xf numFmtId="0" fontId="14" fillId="0" borderId="5" xfId="0" applyFont="1" applyBorder="1"/>
    <xf numFmtId="168" fontId="14" fillId="0" borderId="39" xfId="0" applyNumberFormat="1" applyFont="1" applyBorder="1"/>
    <xf numFmtId="10" fontId="14" fillId="0" borderId="6" xfId="0" applyNumberFormat="1" applyFont="1" applyBorder="1" applyAlignment="1">
      <alignment vertical="center"/>
    </xf>
    <xf numFmtId="2" fontId="1" fillId="0" borderId="18" xfId="0" applyNumberFormat="1" applyFont="1" applyBorder="1"/>
    <xf numFmtId="0" fontId="11" fillId="0" borderId="18" xfId="0" applyFont="1" applyBorder="1"/>
    <xf numFmtId="4" fontId="11" fillId="0" borderId="18" xfId="0" applyNumberFormat="1" applyFont="1" applyBorder="1"/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10" fontId="6" fillId="3" borderId="46" xfId="0" applyNumberFormat="1" applyFont="1" applyFill="1" applyBorder="1" applyAlignment="1">
      <alignment horizontal="center" vertical="center"/>
    </xf>
    <xf numFmtId="10" fontId="6" fillId="0" borderId="7" xfId="0" applyNumberFormat="1" applyFont="1" applyBorder="1" applyAlignment="1">
      <alignment horizontal="right"/>
    </xf>
    <xf numFmtId="10" fontId="6" fillId="0" borderId="18" xfId="0" applyNumberFormat="1" applyFont="1" applyBorder="1" applyAlignment="1">
      <alignment horizontal="right"/>
    </xf>
    <xf numFmtId="10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10" fontId="6" fillId="3" borderId="6" xfId="0" applyNumberFormat="1" applyFont="1" applyFill="1" applyBorder="1" applyAlignment="1">
      <alignment horizontal="center" vertical="center"/>
    </xf>
    <xf numFmtId="10" fontId="6" fillId="3" borderId="6" xfId="0" applyNumberFormat="1" applyFont="1" applyFill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10" fontId="6" fillId="3" borderId="18" xfId="0" applyNumberFormat="1" applyFont="1" applyFill="1" applyBorder="1" applyAlignment="1">
      <alignment horizontal="center"/>
    </xf>
    <xf numFmtId="10" fontId="6" fillId="0" borderId="6" xfId="0" applyNumberFormat="1" applyFont="1" applyBorder="1"/>
    <xf numFmtId="0" fontId="6" fillId="0" borderId="7" xfId="0" applyFont="1" applyBorder="1" applyAlignment="1">
      <alignment horizontal="right"/>
    </xf>
    <xf numFmtId="0" fontId="6" fillId="3" borderId="18" xfId="0" applyFont="1" applyFill="1" applyBorder="1" applyAlignment="1">
      <alignment horizontal="center"/>
    </xf>
    <xf numFmtId="0" fontId="6" fillId="0" borderId="19" xfId="0" applyFont="1" applyBorder="1" applyAlignment="1">
      <alignment horizontal="left" vertical="center"/>
    </xf>
    <xf numFmtId="10" fontId="6" fillId="3" borderId="21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10" fontId="6" fillId="0" borderId="50" xfId="0" applyNumberFormat="1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52" xfId="0" applyFont="1" applyBorder="1" applyAlignment="1">
      <alignment vertical="center"/>
    </xf>
    <xf numFmtId="0" fontId="5" fillId="6" borderId="22" xfId="0" applyFont="1" applyFill="1" applyBorder="1" applyAlignment="1">
      <alignment vertical="center" wrapText="1"/>
    </xf>
    <xf numFmtId="0" fontId="6" fillId="6" borderId="34" xfId="0" applyFont="1" applyFill="1" applyBorder="1" applyAlignment="1">
      <alignment vertical="center"/>
    </xf>
    <xf numFmtId="10" fontId="5" fillId="6" borderId="33" xfId="0" applyNumberFormat="1" applyFont="1" applyFill="1" applyBorder="1" applyAlignment="1">
      <alignment horizontal="center" vertical="center" wrapText="1"/>
    </xf>
    <xf numFmtId="10" fontId="6" fillId="0" borderId="19" xfId="0" applyNumberFormat="1" applyFont="1" applyBorder="1" applyAlignment="1">
      <alignment horizontal="right"/>
    </xf>
    <xf numFmtId="10" fontId="6" fillId="0" borderId="20" xfId="0" applyNumberFormat="1" applyFont="1" applyBorder="1" applyAlignment="1">
      <alignment horizontal="right"/>
    </xf>
    <xf numFmtId="10" fontId="6" fillId="0" borderId="21" xfId="0" applyNumberFormat="1" applyFont="1" applyBorder="1" applyAlignment="1">
      <alignment horizontal="right"/>
    </xf>
    <xf numFmtId="0" fontId="14" fillId="4" borderId="22" xfId="0" applyFont="1" applyFill="1" applyBorder="1"/>
    <xf numFmtId="0" fontId="14" fillId="4" borderId="34" xfId="0" applyFont="1" applyFill="1" applyBorder="1"/>
    <xf numFmtId="168" fontId="14" fillId="4" borderId="33" xfId="0" applyNumberFormat="1" applyFont="1" applyFill="1" applyBorder="1"/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165" fontId="10" fillId="0" borderId="25" xfId="0" applyNumberFormat="1" applyFont="1" applyBorder="1" applyAlignment="1">
      <alignment vertical="center"/>
    </xf>
    <xf numFmtId="165" fontId="10" fillId="0" borderId="26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3" fillId="4" borderId="1" xfId="0" applyFont="1" applyFill="1" applyBorder="1" applyAlignment="1">
      <alignment horizontal="center" vertical="center"/>
    </xf>
    <xf numFmtId="0" fontId="4" fillId="0" borderId="17" xfId="0" applyFont="1" applyBorder="1"/>
    <xf numFmtId="0" fontId="3" fillId="4" borderId="24" xfId="0" applyFont="1" applyFill="1" applyBorder="1" applyAlignment="1">
      <alignment horizontal="center"/>
    </xf>
    <xf numFmtId="0" fontId="4" fillId="0" borderId="25" xfId="0" applyFont="1" applyBorder="1"/>
    <xf numFmtId="0" fontId="4" fillId="0" borderId="26" xfId="0" applyFont="1" applyBorder="1"/>
    <xf numFmtId="0" fontId="3" fillId="4" borderId="35" xfId="0" applyFont="1" applyFill="1" applyBorder="1" applyAlignment="1">
      <alignment horizontal="center"/>
    </xf>
    <xf numFmtId="0" fontId="4" fillId="0" borderId="31" xfId="0" applyFont="1" applyBorder="1"/>
    <xf numFmtId="0" fontId="4" fillId="0" borderId="36" xfId="0" applyFont="1" applyBorder="1"/>
    <xf numFmtId="165" fontId="3" fillId="4" borderId="24" xfId="0" applyNumberFormat="1" applyFont="1" applyFill="1" applyBorder="1" applyAlignment="1">
      <alignment horizontal="center" vertical="center"/>
    </xf>
    <xf numFmtId="0" fontId="14" fillId="4" borderId="24" xfId="0" applyFont="1" applyFill="1" applyBorder="1"/>
    <xf numFmtId="0" fontId="3" fillId="2" borderId="24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4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1000"/>
  <sheetViews>
    <sheetView tabSelected="1" workbookViewId="0"/>
  </sheetViews>
  <sheetFormatPr defaultColWidth="14.42578125" defaultRowHeight="15" customHeight="1" x14ac:dyDescent="0.25"/>
  <cols>
    <col min="1" max="1" width="8.7109375" customWidth="1"/>
    <col min="2" max="2" width="59.28515625" customWidth="1"/>
    <col min="3" max="3" width="17.85546875" customWidth="1"/>
    <col min="4" max="26" width="8.7109375" customWidth="1"/>
  </cols>
  <sheetData>
    <row r="1" spans="2:3" x14ac:dyDescent="0.25">
      <c r="B1" s="210" t="s">
        <v>0</v>
      </c>
      <c r="C1" s="211"/>
    </row>
    <row r="2" spans="2:3" x14ac:dyDescent="0.25">
      <c r="B2" s="1" t="s">
        <v>1</v>
      </c>
    </row>
    <row r="3" spans="2:3" ht="18" x14ac:dyDescent="0.25">
      <c r="B3" s="212" t="s">
        <v>2</v>
      </c>
      <c r="C3" s="213"/>
    </row>
    <row r="4" spans="2:3" x14ac:dyDescent="0.25">
      <c r="B4" s="2" t="s">
        <v>3</v>
      </c>
      <c r="C4" s="3"/>
    </row>
    <row r="5" spans="2:3" x14ac:dyDescent="0.25">
      <c r="B5" s="4" t="s">
        <v>4</v>
      </c>
      <c r="C5" s="5">
        <v>1932</v>
      </c>
    </row>
    <row r="6" spans="2:3" x14ac:dyDescent="0.25">
      <c r="B6" s="6" t="s">
        <v>5</v>
      </c>
      <c r="C6" s="5">
        <v>2197</v>
      </c>
    </row>
    <row r="7" spans="2:3" x14ac:dyDescent="0.25">
      <c r="B7" s="7" t="s">
        <v>6</v>
      </c>
      <c r="C7" s="8">
        <v>25</v>
      </c>
    </row>
    <row r="8" spans="2:3" x14ac:dyDescent="0.25">
      <c r="B8" s="7" t="s">
        <v>7</v>
      </c>
      <c r="C8" s="8">
        <v>1463</v>
      </c>
    </row>
    <row r="9" spans="2:3" x14ac:dyDescent="0.25">
      <c r="B9" s="7" t="s">
        <v>8</v>
      </c>
      <c r="C9" s="8">
        <v>321</v>
      </c>
    </row>
    <row r="10" spans="2:3" x14ac:dyDescent="0.25">
      <c r="B10" s="7" t="s">
        <v>9</v>
      </c>
      <c r="C10" s="8">
        <v>12</v>
      </c>
    </row>
    <row r="11" spans="2:3" x14ac:dyDescent="0.25">
      <c r="B11" s="7" t="s">
        <v>10</v>
      </c>
      <c r="C11" s="8">
        <v>339</v>
      </c>
    </row>
    <row r="12" spans="2:3" x14ac:dyDescent="0.25">
      <c r="B12" s="7" t="s">
        <v>11</v>
      </c>
      <c r="C12" s="8">
        <v>0</v>
      </c>
    </row>
    <row r="13" spans="2:3" x14ac:dyDescent="0.25">
      <c r="B13" s="7" t="s">
        <v>12</v>
      </c>
      <c r="C13" s="8">
        <v>22</v>
      </c>
    </row>
    <row r="14" spans="2:3" x14ac:dyDescent="0.25">
      <c r="B14" s="9" t="s">
        <v>13</v>
      </c>
      <c r="C14" s="10">
        <v>0</v>
      </c>
    </row>
    <row r="15" spans="2:3" x14ac:dyDescent="0.25">
      <c r="B15" s="11" t="s">
        <v>14</v>
      </c>
      <c r="C15" s="10">
        <v>0</v>
      </c>
    </row>
    <row r="16" spans="2:3" x14ac:dyDescent="0.25">
      <c r="B16" s="12" t="s">
        <v>15</v>
      </c>
      <c r="C16" s="3"/>
    </row>
    <row r="17" spans="2:3" x14ac:dyDescent="0.25">
      <c r="B17" s="13" t="s">
        <v>16</v>
      </c>
      <c r="C17" s="14">
        <v>5183</v>
      </c>
    </row>
    <row r="18" spans="2:3" x14ac:dyDescent="0.25">
      <c r="B18" s="7" t="s">
        <v>17</v>
      </c>
      <c r="C18" s="8">
        <v>4918</v>
      </c>
    </row>
    <row r="19" spans="2:3" x14ac:dyDescent="0.25">
      <c r="B19" s="7" t="s">
        <v>18</v>
      </c>
      <c r="C19" s="15">
        <f>C5-C6</f>
        <v>-265</v>
      </c>
    </row>
    <row r="20" spans="2:3" x14ac:dyDescent="0.25">
      <c r="B20" s="16"/>
      <c r="C20" s="17"/>
    </row>
    <row r="21" spans="2:3" ht="15.75" customHeight="1" x14ac:dyDescent="0.25">
      <c r="B21" s="4" t="s">
        <v>19</v>
      </c>
      <c r="C21" s="18">
        <f>MEDIAN(C17,C18)</f>
        <v>5050.5</v>
      </c>
    </row>
    <row r="22" spans="2:3" ht="15.75" customHeight="1" x14ac:dyDescent="0.25">
      <c r="B22" s="6" t="s">
        <v>20</v>
      </c>
      <c r="C22" s="19">
        <f>C8/C21</f>
        <v>0.28967428967428965</v>
      </c>
    </row>
    <row r="23" spans="2:3" ht="15.75" customHeight="1" x14ac:dyDescent="0.25">
      <c r="B23" s="6" t="s">
        <v>21</v>
      </c>
      <c r="C23" s="19">
        <f>MEDIAN(C5,C6)/C21</f>
        <v>0.40877140877140877</v>
      </c>
    </row>
    <row r="24" spans="2:3" ht="15.75" customHeight="1" x14ac:dyDescent="0.25">
      <c r="B24" s="6" t="s">
        <v>22</v>
      </c>
      <c r="C24" s="20">
        <f>12/C23</f>
        <v>29.356260595785905</v>
      </c>
    </row>
    <row r="25" spans="2:3" ht="15.75" customHeight="1" x14ac:dyDescent="0.25">
      <c r="B25" s="6" t="s">
        <v>23</v>
      </c>
      <c r="C25" s="21">
        <v>360</v>
      </c>
    </row>
    <row r="26" spans="2:3" ht="15.75" customHeight="1" x14ac:dyDescent="0.25">
      <c r="B26" s="6" t="s">
        <v>24</v>
      </c>
      <c r="C26" s="21">
        <v>10</v>
      </c>
    </row>
    <row r="27" spans="2:3" ht="15.75" customHeight="1" x14ac:dyDescent="0.25">
      <c r="B27" s="4" t="s">
        <v>25</v>
      </c>
      <c r="C27" s="18">
        <v>30</v>
      </c>
    </row>
    <row r="28" spans="2:3" ht="15.75" customHeight="1" x14ac:dyDescent="0.25">
      <c r="B28" s="4" t="s">
        <v>26</v>
      </c>
      <c r="C28" s="18">
        <v>30</v>
      </c>
    </row>
    <row r="29" spans="2:3" ht="15.75" customHeight="1" x14ac:dyDescent="0.25">
      <c r="B29" s="4" t="s">
        <v>27</v>
      </c>
      <c r="C29" s="18">
        <v>36</v>
      </c>
    </row>
    <row r="30" spans="2:3" ht="15.75" customHeight="1" x14ac:dyDescent="0.25">
      <c r="B30" s="6" t="s">
        <v>28</v>
      </c>
      <c r="C30" s="22">
        <v>0.08</v>
      </c>
    </row>
    <row r="31" spans="2:3" ht="15.75" customHeight="1" x14ac:dyDescent="0.25">
      <c r="B31" s="23" t="s">
        <v>29</v>
      </c>
      <c r="C31" s="24">
        <v>0.4</v>
      </c>
    </row>
    <row r="32" spans="2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B1:C1"/>
    <mergeCell ref="B3:C3"/>
  </mergeCells>
  <pageMargins left="0.511811024" right="0.511811024" top="0.78740157499999996" bottom="0.78740157499999996" header="0" footer="0"/>
  <pageSetup paperSize="9" scale="80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2578125" defaultRowHeight="15" customHeight="1" x14ac:dyDescent="0.25"/>
  <cols>
    <col min="1" max="1" width="7.5703125" customWidth="1"/>
    <col min="2" max="2" width="39.5703125" customWidth="1"/>
    <col min="3" max="3" width="13.7109375" customWidth="1"/>
    <col min="4" max="26" width="8.7109375" customWidth="1"/>
  </cols>
  <sheetData>
    <row r="1" spans="1:3" ht="18" x14ac:dyDescent="0.25">
      <c r="A1" s="214" t="s">
        <v>30</v>
      </c>
      <c r="B1" s="215"/>
      <c r="C1" s="213"/>
    </row>
    <row r="2" spans="1:3" x14ac:dyDescent="0.25">
      <c r="A2" s="25" t="s">
        <v>31</v>
      </c>
      <c r="B2" s="26" t="s">
        <v>32</v>
      </c>
      <c r="C2" s="27" t="s">
        <v>33</v>
      </c>
    </row>
    <row r="3" spans="1:3" x14ac:dyDescent="0.25">
      <c r="A3" s="25" t="s">
        <v>34</v>
      </c>
      <c r="B3" s="26" t="s">
        <v>35</v>
      </c>
      <c r="C3" s="28">
        <v>0.2</v>
      </c>
    </row>
    <row r="4" spans="1:3" x14ac:dyDescent="0.25">
      <c r="A4" s="25" t="s">
        <v>36</v>
      </c>
      <c r="B4" s="26" t="s">
        <v>37</v>
      </c>
      <c r="C4" s="28">
        <v>1.4999999999999999E-2</v>
      </c>
    </row>
    <row r="5" spans="1:3" x14ac:dyDescent="0.25">
      <c r="A5" s="25" t="s">
        <v>38</v>
      </c>
      <c r="B5" s="26" t="s">
        <v>39</v>
      </c>
      <c r="C5" s="28">
        <v>0.01</v>
      </c>
    </row>
    <row r="6" spans="1:3" x14ac:dyDescent="0.25">
      <c r="A6" s="25" t="s">
        <v>40</v>
      </c>
      <c r="B6" s="26" t="s">
        <v>41</v>
      </c>
      <c r="C6" s="28">
        <v>2E-3</v>
      </c>
    </row>
    <row r="7" spans="1:3" x14ac:dyDescent="0.25">
      <c r="A7" s="25" t="s">
        <v>42</v>
      </c>
      <c r="B7" s="26" t="s">
        <v>43</v>
      </c>
      <c r="C7" s="28">
        <v>6.0000000000000001E-3</v>
      </c>
    </row>
    <row r="8" spans="1:3" x14ac:dyDescent="0.25">
      <c r="A8" s="25" t="s">
        <v>44</v>
      </c>
      <c r="B8" s="26" t="s">
        <v>45</v>
      </c>
      <c r="C8" s="28">
        <v>2.5000000000000001E-2</v>
      </c>
    </row>
    <row r="9" spans="1:3" x14ac:dyDescent="0.25">
      <c r="A9" s="25" t="s">
        <v>46</v>
      </c>
      <c r="B9" s="26" t="s">
        <v>47</v>
      </c>
      <c r="C9" s="28">
        <v>0.03</v>
      </c>
    </row>
    <row r="10" spans="1:3" x14ac:dyDescent="0.25">
      <c r="A10" s="25" t="s">
        <v>48</v>
      </c>
      <c r="B10" s="26" t="s">
        <v>28</v>
      </c>
      <c r="C10" s="28">
        <v>0.08</v>
      </c>
    </row>
    <row r="11" spans="1:3" x14ac:dyDescent="0.25">
      <c r="A11" s="25" t="s">
        <v>49</v>
      </c>
      <c r="B11" s="29" t="s">
        <v>50</v>
      </c>
      <c r="C11" s="30">
        <f>SUM(C3:C10)</f>
        <v>0.36800000000000005</v>
      </c>
    </row>
    <row r="12" spans="1:3" x14ac:dyDescent="0.25">
      <c r="A12" s="31"/>
      <c r="B12" s="32"/>
      <c r="C12" s="33"/>
    </row>
    <row r="13" spans="1:3" x14ac:dyDescent="0.25">
      <c r="A13" s="25" t="s">
        <v>51</v>
      </c>
      <c r="B13" s="34" t="s">
        <v>52</v>
      </c>
      <c r="C13" s="35">
        <f>ROUND(IF(CAGED!C24&gt;24,(1-12/CAGED!C24)*0.1111,0.1111-C22),4)</f>
        <v>6.5699999999999995E-2</v>
      </c>
    </row>
    <row r="14" spans="1:3" x14ac:dyDescent="0.25">
      <c r="A14" s="25" t="s">
        <v>53</v>
      </c>
      <c r="B14" s="34" t="s">
        <v>54</v>
      </c>
      <c r="C14" s="28">
        <f>ROUND(CAGED!C28/CAGED!C25,4)</f>
        <v>8.3299999999999999E-2</v>
      </c>
    </row>
    <row r="15" spans="1:3" x14ac:dyDescent="0.25">
      <c r="A15" s="25" t="s">
        <v>55</v>
      </c>
      <c r="B15" s="34" t="s">
        <v>56</v>
      </c>
      <c r="C15" s="36">
        <v>5.9999999999999995E-4</v>
      </c>
    </row>
    <row r="16" spans="1:3" x14ac:dyDescent="0.25">
      <c r="A16" s="25" t="s">
        <v>57</v>
      </c>
      <c r="B16" s="34" t="s">
        <v>58</v>
      </c>
      <c r="C16" s="36">
        <v>8.2000000000000007E-3</v>
      </c>
    </row>
    <row r="17" spans="1:3" x14ac:dyDescent="0.25">
      <c r="A17" s="25" t="s">
        <v>59</v>
      </c>
      <c r="B17" s="34" t="s">
        <v>60</v>
      </c>
      <c r="C17" s="36">
        <v>3.0999999999999999E-3</v>
      </c>
    </row>
    <row r="18" spans="1:3" x14ac:dyDescent="0.25">
      <c r="A18" s="25" t="s">
        <v>61</v>
      </c>
      <c r="B18" s="34" t="s">
        <v>62</v>
      </c>
      <c r="C18" s="36">
        <v>1.66E-2</v>
      </c>
    </row>
    <row r="19" spans="1:3" x14ac:dyDescent="0.25">
      <c r="A19" s="25" t="s">
        <v>63</v>
      </c>
      <c r="B19" s="29" t="s">
        <v>64</v>
      </c>
      <c r="C19" s="30">
        <f>SUM(C13:C18)</f>
        <v>0.17749999999999999</v>
      </c>
    </row>
    <row r="20" spans="1:3" x14ac:dyDescent="0.25">
      <c r="A20" s="31"/>
      <c r="B20" s="32"/>
      <c r="C20" s="33"/>
    </row>
    <row r="21" spans="1:3" ht="15.75" customHeight="1" x14ac:dyDescent="0.25">
      <c r="A21" s="25" t="s">
        <v>65</v>
      </c>
      <c r="B21" s="26" t="s">
        <v>66</v>
      </c>
      <c r="C21" s="28">
        <f>ROUND((CAGED!C29) *CAGED!C22/CAGED!C25,4)</f>
        <v>2.9000000000000001E-2</v>
      </c>
    </row>
    <row r="22" spans="1:3" ht="15.75" customHeight="1" x14ac:dyDescent="0.25">
      <c r="A22" s="25" t="s">
        <v>67</v>
      </c>
      <c r="B22" s="26" t="s">
        <v>68</v>
      </c>
      <c r="C22" s="28">
        <f>ROUND(IF(CAGED!C24&gt;12,12/CAGED!C24*0.1111,0.1111),4)</f>
        <v>4.5400000000000003E-2</v>
      </c>
    </row>
    <row r="23" spans="1:3" ht="15.75" customHeight="1" x14ac:dyDescent="0.25">
      <c r="A23" s="25" t="s">
        <v>69</v>
      </c>
      <c r="B23" s="26" t="s">
        <v>70</v>
      </c>
      <c r="C23" s="28">
        <f>C21*C22</f>
        <v>1.3166000000000002E-3</v>
      </c>
    </row>
    <row r="24" spans="1:3" ht="15.75" customHeight="1" x14ac:dyDescent="0.25">
      <c r="A24" s="25" t="s">
        <v>71</v>
      </c>
      <c r="B24" s="26" t="s">
        <v>72</v>
      </c>
      <c r="C24" s="28">
        <f>ROUND((CAGED!C25+CAGED!C26+CAGED!C28)/CAGED!C23*CAGED!C30*CAGED!C31*CAGED!C22/CAGED!C25,4)</f>
        <v>2.52E-2</v>
      </c>
    </row>
    <row r="25" spans="1:3" ht="15.75" customHeight="1" x14ac:dyDescent="0.25">
      <c r="A25" s="25" t="s">
        <v>73</v>
      </c>
      <c r="B25" s="26" t="s">
        <v>74</v>
      </c>
      <c r="C25" s="28">
        <f>ROUND((CAGED!C27/CAGED!C25)*CAGED!C22/12,4)</f>
        <v>2E-3</v>
      </c>
    </row>
    <row r="26" spans="1:3" ht="15.75" customHeight="1" x14ac:dyDescent="0.25">
      <c r="A26" s="25" t="s">
        <v>75</v>
      </c>
      <c r="B26" s="29" t="s">
        <v>76</v>
      </c>
      <c r="C26" s="30">
        <f>SUM(C21:C25)</f>
        <v>0.10291660000000001</v>
      </c>
    </row>
    <row r="27" spans="1:3" ht="15.75" customHeight="1" x14ac:dyDescent="0.25">
      <c r="A27" s="31"/>
      <c r="B27" s="32"/>
      <c r="C27" s="33"/>
    </row>
    <row r="28" spans="1:3" ht="15.75" customHeight="1" x14ac:dyDescent="0.25">
      <c r="A28" s="25" t="s">
        <v>77</v>
      </c>
      <c r="B28" s="26" t="s">
        <v>78</v>
      </c>
      <c r="C28" s="28">
        <f>ROUND(C11*C19,4)</f>
        <v>6.5299999999999997E-2</v>
      </c>
    </row>
    <row r="29" spans="1:3" ht="15.75" customHeight="1" x14ac:dyDescent="0.25">
      <c r="A29" s="25" t="s">
        <v>79</v>
      </c>
      <c r="B29" s="37" t="s">
        <v>80</v>
      </c>
      <c r="C29" s="28">
        <f>ROUND((C21*C10),4)</f>
        <v>2.3E-3</v>
      </c>
    </row>
    <row r="30" spans="1:3" ht="15.75" customHeight="1" x14ac:dyDescent="0.25">
      <c r="A30" s="25" t="s">
        <v>81</v>
      </c>
      <c r="B30" s="29" t="s">
        <v>82</v>
      </c>
      <c r="C30" s="30">
        <f>SUM(C28:C29)</f>
        <v>6.7599999999999993E-2</v>
      </c>
    </row>
    <row r="31" spans="1:3" ht="15.75" customHeight="1" x14ac:dyDescent="0.25">
      <c r="A31" s="38"/>
      <c r="B31" s="39" t="s">
        <v>83</v>
      </c>
      <c r="C31" s="40">
        <f>C30+C26+C19+C11</f>
        <v>0.71601660000000011</v>
      </c>
    </row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C1"/>
  </mergeCells>
  <pageMargins left="0.511811024" right="0.511811024" top="0.78740157499999996" bottom="0.78740157499999996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39"/>
  <sheetViews>
    <sheetView workbookViewId="0"/>
  </sheetViews>
  <sheetFormatPr defaultColWidth="14.42578125" defaultRowHeight="15" customHeight="1" x14ac:dyDescent="0.25"/>
  <cols>
    <col min="1" max="1" width="47.5703125" customWidth="1"/>
    <col min="2" max="2" width="16.140625" customWidth="1"/>
    <col min="4" max="4" width="17.7109375" customWidth="1"/>
    <col min="5" max="5" width="13.42578125" customWidth="1"/>
    <col min="6" max="6" width="11.42578125" customWidth="1"/>
    <col min="7" max="8" width="8.7109375" customWidth="1"/>
    <col min="9" max="9" width="14" customWidth="1"/>
    <col min="10" max="10" width="12" customWidth="1"/>
    <col min="11" max="26" width="8.7109375" customWidth="1"/>
  </cols>
  <sheetData>
    <row r="1" spans="1:13" x14ac:dyDescent="0.25">
      <c r="A1" s="41" t="s">
        <v>84</v>
      </c>
      <c r="B1" s="42">
        <v>1</v>
      </c>
    </row>
    <row r="3" spans="1:13" ht="18" x14ac:dyDescent="0.25">
      <c r="A3" s="216" t="s">
        <v>85</v>
      </c>
      <c r="B3" s="217"/>
      <c r="C3" s="217"/>
      <c r="D3" s="217"/>
      <c r="E3" s="217"/>
      <c r="F3" s="218"/>
    </row>
    <row r="4" spans="1:13" x14ac:dyDescent="0.25">
      <c r="A4" s="43" t="s">
        <v>86</v>
      </c>
      <c r="B4" s="43"/>
      <c r="C4" s="43"/>
      <c r="D4" s="44"/>
      <c r="E4" s="44"/>
      <c r="F4" s="44"/>
      <c r="I4" s="45"/>
    </row>
    <row r="5" spans="1:13" x14ac:dyDescent="0.25">
      <c r="A5" s="46" t="s">
        <v>87</v>
      </c>
      <c r="B5" s="47" t="s">
        <v>88</v>
      </c>
      <c r="C5" s="47" t="s">
        <v>89</v>
      </c>
      <c r="D5" s="48" t="s">
        <v>90</v>
      </c>
      <c r="E5" s="48" t="s">
        <v>91</v>
      </c>
      <c r="F5" s="49" t="s">
        <v>92</v>
      </c>
    </row>
    <row r="6" spans="1:13" x14ac:dyDescent="0.25">
      <c r="A6" s="50" t="s">
        <v>93</v>
      </c>
      <c r="B6" s="51" t="s">
        <v>94</v>
      </c>
      <c r="C6" s="51">
        <v>1</v>
      </c>
      <c r="D6" s="52">
        <v>3046.85</v>
      </c>
      <c r="E6" s="53">
        <f>C6*D6</f>
        <v>3046.85</v>
      </c>
      <c r="F6" s="44"/>
      <c r="H6" s="54"/>
      <c r="I6" s="45"/>
      <c r="K6" s="55"/>
      <c r="L6" s="55"/>
    </row>
    <row r="7" spans="1:13" x14ac:dyDescent="0.25">
      <c r="A7" s="50" t="s">
        <v>95</v>
      </c>
      <c r="B7" s="51" t="s">
        <v>94</v>
      </c>
      <c r="C7" s="51">
        <v>1</v>
      </c>
      <c r="D7" s="56">
        <v>1518</v>
      </c>
      <c r="E7" s="53"/>
      <c r="F7" s="44"/>
      <c r="I7" s="57"/>
      <c r="K7" s="55"/>
      <c r="L7" s="55"/>
    </row>
    <row r="8" spans="1:13" x14ac:dyDescent="0.25">
      <c r="A8" s="58" t="s">
        <v>96</v>
      </c>
      <c r="B8" s="59" t="s">
        <v>97</v>
      </c>
      <c r="C8" s="60">
        <v>0</v>
      </c>
      <c r="D8" s="61">
        <f>D6/220*2</f>
        <v>27.698636363636364</v>
      </c>
      <c r="E8" s="61">
        <f t="shared" ref="E8:E9" si="0">C8*D8</f>
        <v>0</v>
      </c>
      <c r="F8" s="44"/>
      <c r="K8" s="55"/>
      <c r="L8" s="55"/>
    </row>
    <row r="9" spans="1:13" x14ac:dyDescent="0.25">
      <c r="A9" s="58" t="s">
        <v>98</v>
      </c>
      <c r="B9" s="59" t="s">
        <v>97</v>
      </c>
      <c r="C9" s="60">
        <v>0</v>
      </c>
      <c r="D9" s="61">
        <f>D6/220*1.5</f>
        <v>20.773977272727272</v>
      </c>
      <c r="E9" s="61">
        <f t="shared" si="0"/>
        <v>0</v>
      </c>
      <c r="F9" s="44"/>
      <c r="K9" s="55"/>
      <c r="L9" s="55"/>
      <c r="M9" s="55"/>
    </row>
    <row r="10" spans="1:13" x14ac:dyDescent="0.25">
      <c r="A10" s="58" t="s">
        <v>99</v>
      </c>
      <c r="B10" s="59" t="s">
        <v>100</v>
      </c>
      <c r="C10" s="43"/>
      <c r="D10" s="61">
        <f>63/302*(SUM(E8:E9))</f>
        <v>0</v>
      </c>
      <c r="E10" s="61">
        <f>D10</f>
        <v>0</v>
      </c>
      <c r="F10" s="44"/>
      <c r="K10" s="55"/>
      <c r="L10" s="55"/>
      <c r="M10" s="55"/>
    </row>
    <row r="11" spans="1:13" x14ac:dyDescent="0.25">
      <c r="A11" s="58" t="s">
        <v>101</v>
      </c>
      <c r="B11" s="59"/>
      <c r="C11" s="62">
        <v>0</v>
      </c>
      <c r="D11" s="61"/>
      <c r="E11" s="61"/>
      <c r="F11" s="44"/>
      <c r="K11" s="55"/>
      <c r="L11" s="55"/>
    </row>
    <row r="12" spans="1:13" x14ac:dyDescent="0.25">
      <c r="A12" s="58" t="s">
        <v>102</v>
      </c>
      <c r="B12" s="59" t="s">
        <v>103</v>
      </c>
      <c r="C12" s="63">
        <v>0</v>
      </c>
      <c r="D12" s="61">
        <f>IF(C11=2,SUM(E6:E10),IF(C11=1,(SUM(E6:E10))*D7/D6,0))</f>
        <v>0</v>
      </c>
      <c r="E12" s="61">
        <f>C12*D12/100</f>
        <v>0</v>
      </c>
      <c r="F12" s="44"/>
      <c r="G12" s="64"/>
    </row>
    <row r="13" spans="1:13" x14ac:dyDescent="0.25">
      <c r="A13" s="65" t="s">
        <v>104</v>
      </c>
      <c r="B13" s="66"/>
      <c r="C13" s="66"/>
      <c r="D13" s="67"/>
      <c r="E13" s="68">
        <f>SUM(E6:E12)</f>
        <v>3046.85</v>
      </c>
      <c r="F13" s="69"/>
    </row>
    <row r="14" spans="1:13" x14ac:dyDescent="0.25">
      <c r="A14" s="58" t="s">
        <v>105</v>
      </c>
      <c r="B14" s="59" t="s">
        <v>103</v>
      </c>
      <c r="C14" s="70">
        <f>Encargos!$C$31*100</f>
        <v>71.60166000000001</v>
      </c>
      <c r="D14" s="61">
        <f>E13</f>
        <v>3046.85</v>
      </c>
      <c r="E14" s="61">
        <f>D14*C14/100</f>
        <v>2181.5951777099999</v>
      </c>
      <c r="F14" s="44"/>
    </row>
    <row r="15" spans="1:13" x14ac:dyDescent="0.25">
      <c r="A15" s="65" t="s">
        <v>106</v>
      </c>
      <c r="B15" s="71"/>
      <c r="C15" s="71"/>
      <c r="D15" s="72"/>
      <c r="E15" s="68">
        <f>E13+E14</f>
        <v>5228.4451777100003</v>
      </c>
      <c r="F15" s="69"/>
    </row>
    <row r="16" spans="1:13" x14ac:dyDescent="0.25">
      <c r="A16" s="58" t="s">
        <v>107</v>
      </c>
      <c r="B16" s="59" t="s">
        <v>108</v>
      </c>
      <c r="C16" s="73">
        <v>2</v>
      </c>
      <c r="D16" s="61">
        <f>E15</f>
        <v>5228.4451777100003</v>
      </c>
      <c r="E16" s="61">
        <f>C16*D16</f>
        <v>10456.890355420001</v>
      </c>
      <c r="F16" s="44"/>
    </row>
    <row r="17" spans="1:6" x14ac:dyDescent="0.25">
      <c r="A17" s="43"/>
      <c r="B17" s="43"/>
      <c r="C17" s="43"/>
      <c r="D17" s="74" t="s">
        <v>109</v>
      </c>
      <c r="E17" s="75">
        <f>$B$1</f>
        <v>1</v>
      </c>
      <c r="F17" s="76">
        <f>E16*E17</f>
        <v>10456.890355420001</v>
      </c>
    </row>
    <row r="18" spans="1:6" x14ac:dyDescent="0.25">
      <c r="A18" s="43"/>
      <c r="B18" s="43"/>
      <c r="C18" s="43"/>
      <c r="D18" s="44"/>
      <c r="E18" s="44"/>
      <c r="F18" s="44"/>
    </row>
    <row r="19" spans="1:6" ht="15.75" customHeight="1" x14ac:dyDescent="0.25">
      <c r="A19" s="43" t="s">
        <v>110</v>
      </c>
      <c r="B19" s="77"/>
      <c r="C19" s="43"/>
      <c r="D19" s="43"/>
      <c r="E19" s="43"/>
      <c r="F19" s="44"/>
    </row>
    <row r="20" spans="1:6" ht="15.75" customHeight="1" x14ac:dyDescent="0.25">
      <c r="A20" s="46" t="s">
        <v>87</v>
      </c>
      <c r="B20" s="47" t="s">
        <v>88</v>
      </c>
      <c r="C20" s="47" t="s">
        <v>89</v>
      </c>
      <c r="D20" s="48" t="s">
        <v>90</v>
      </c>
      <c r="E20" s="48" t="s">
        <v>91</v>
      </c>
      <c r="F20" s="49" t="s">
        <v>111</v>
      </c>
    </row>
    <row r="21" spans="1:6" ht="15.75" customHeight="1" x14ac:dyDescent="0.25">
      <c r="A21" s="58" t="s">
        <v>112</v>
      </c>
      <c r="B21" s="59" t="s">
        <v>100</v>
      </c>
      <c r="C21" s="78">
        <v>0</v>
      </c>
      <c r="D21" s="79">
        <v>6</v>
      </c>
      <c r="E21" s="61"/>
      <c r="F21" s="44"/>
    </row>
    <row r="22" spans="1:6" ht="15.75" customHeight="1" x14ac:dyDescent="0.25">
      <c r="A22" s="58" t="s">
        <v>113</v>
      </c>
      <c r="B22" s="59" t="s">
        <v>114</v>
      </c>
      <c r="C22" s="80">
        <v>20</v>
      </c>
      <c r="D22" s="61"/>
      <c r="E22" s="61"/>
      <c r="F22" s="44"/>
    </row>
    <row r="23" spans="1:6" ht="15.75" customHeight="1" x14ac:dyDescent="0.25">
      <c r="A23" s="50" t="s">
        <v>115</v>
      </c>
      <c r="B23" s="51" t="s">
        <v>116</v>
      </c>
      <c r="C23" s="81">
        <f>$C22*2*(C16)</f>
        <v>80</v>
      </c>
      <c r="D23" s="53">
        <f>IFERROR((($C$22*2*$D$21)-(E6*0.06*C22/26))/($C$22*2),"-")</f>
        <v>2.4844038461538469</v>
      </c>
      <c r="E23" s="53">
        <f>IFERROR(C23*D23,"-")</f>
        <v>198.75230769230774</v>
      </c>
      <c r="F23" s="44"/>
    </row>
    <row r="24" spans="1:6" ht="15.75" customHeight="1" x14ac:dyDescent="0.25">
      <c r="A24" s="43"/>
      <c r="B24" s="43"/>
      <c r="C24" s="43"/>
      <c r="D24" s="44"/>
      <c r="E24" s="44"/>
      <c r="F24" s="82">
        <f>SUM(E23)</f>
        <v>198.75230769230774</v>
      </c>
    </row>
    <row r="25" spans="1:6" ht="15.75" customHeight="1" x14ac:dyDescent="0.25">
      <c r="A25" s="43"/>
      <c r="B25" s="43"/>
      <c r="C25" s="43"/>
      <c r="D25" s="44"/>
      <c r="E25" s="44"/>
      <c r="F25" s="44"/>
    </row>
    <row r="26" spans="1:6" ht="15.75" customHeight="1" x14ac:dyDescent="0.25">
      <c r="A26" s="43" t="s">
        <v>117</v>
      </c>
      <c r="B26" s="43"/>
      <c r="C26" s="43"/>
      <c r="D26" s="44"/>
      <c r="E26" s="44"/>
      <c r="F26" s="69"/>
    </row>
    <row r="27" spans="1:6" ht="15.75" customHeight="1" x14ac:dyDescent="0.25">
      <c r="A27" s="46" t="s">
        <v>87</v>
      </c>
      <c r="B27" s="47" t="s">
        <v>88</v>
      </c>
      <c r="C27" s="47" t="s">
        <v>89</v>
      </c>
      <c r="D27" s="48" t="s">
        <v>90</v>
      </c>
      <c r="E27" s="48" t="s">
        <v>91</v>
      </c>
      <c r="F27" s="49" t="s">
        <v>118</v>
      </c>
    </row>
    <row r="28" spans="1:6" ht="15.75" customHeight="1" x14ac:dyDescent="0.25">
      <c r="A28" s="58" t="str">
        <f>+A23</f>
        <v>Motorista</v>
      </c>
      <c r="B28" s="59" t="s">
        <v>119</v>
      </c>
      <c r="C28" s="81">
        <f>C22*(C16)</f>
        <v>40</v>
      </c>
      <c r="D28" s="83">
        <v>33.43</v>
      </c>
      <c r="E28" s="75">
        <f>C28*D28</f>
        <v>1337.2</v>
      </c>
      <c r="F28" s="69"/>
    </row>
    <row r="29" spans="1:6" ht="15.75" customHeight="1" x14ac:dyDescent="0.25">
      <c r="A29" s="43"/>
      <c r="B29" s="43"/>
      <c r="C29" s="43"/>
      <c r="D29" s="44"/>
      <c r="E29" s="44"/>
      <c r="F29" s="82">
        <f>SUM(E28)</f>
        <v>1337.2</v>
      </c>
    </row>
    <row r="30" spans="1:6" ht="15.75" customHeight="1" x14ac:dyDescent="0.25">
      <c r="A30" s="43"/>
      <c r="B30" s="43"/>
      <c r="C30" s="43"/>
      <c r="D30" s="44"/>
      <c r="E30" s="44"/>
      <c r="F30" s="44"/>
    </row>
    <row r="31" spans="1:6" ht="15.75" customHeight="1" x14ac:dyDescent="0.25">
      <c r="A31" s="43" t="s">
        <v>120</v>
      </c>
      <c r="B31" s="43"/>
      <c r="C31" s="43"/>
      <c r="D31" s="44"/>
      <c r="E31" s="44"/>
      <c r="F31" s="69"/>
    </row>
    <row r="32" spans="1:6" ht="15.75" customHeight="1" x14ac:dyDescent="0.25">
      <c r="A32" s="46" t="s">
        <v>87</v>
      </c>
      <c r="B32" s="47" t="s">
        <v>88</v>
      </c>
      <c r="C32" s="47" t="s">
        <v>89</v>
      </c>
      <c r="D32" s="84" t="s">
        <v>90</v>
      </c>
      <c r="E32" s="48" t="s">
        <v>91</v>
      </c>
      <c r="F32" s="49" t="s">
        <v>121</v>
      </c>
    </row>
    <row r="33" spans="1:9" ht="15.75" customHeight="1" x14ac:dyDescent="0.25">
      <c r="A33" s="58" t="str">
        <f>+A28</f>
        <v>Motorista</v>
      </c>
      <c r="B33" s="59" t="s">
        <v>119</v>
      </c>
      <c r="C33" s="81">
        <f>C16</f>
        <v>2</v>
      </c>
      <c r="D33" s="85">
        <v>341.67</v>
      </c>
      <c r="E33" s="75">
        <f>C33*D33</f>
        <v>683.34</v>
      </c>
      <c r="F33" s="69"/>
    </row>
    <row r="34" spans="1:9" ht="15.75" customHeight="1" x14ac:dyDescent="0.25">
      <c r="A34" s="43"/>
      <c r="B34" s="43"/>
      <c r="C34" s="43"/>
      <c r="D34" s="74" t="s">
        <v>109</v>
      </c>
      <c r="E34" s="75">
        <f>$B$1</f>
        <v>1</v>
      </c>
      <c r="F34" s="82">
        <f>SUM(E33)*E34</f>
        <v>683.34</v>
      </c>
    </row>
    <row r="35" spans="1:9" ht="15.75" customHeight="1" x14ac:dyDescent="0.25"/>
    <row r="36" spans="1:9" ht="15.75" customHeight="1" x14ac:dyDescent="0.25">
      <c r="A36" s="86" t="s">
        <v>122</v>
      </c>
      <c r="B36" s="86" t="s">
        <v>123</v>
      </c>
      <c r="C36" s="87"/>
      <c r="D36" s="87"/>
      <c r="E36" s="87"/>
      <c r="F36" s="88">
        <f>F34+F29+F24+F17</f>
        <v>12676.182663112308</v>
      </c>
    </row>
    <row r="37" spans="1:9" ht="15.75" customHeight="1" x14ac:dyDescent="0.25"/>
    <row r="38" spans="1:9" ht="15.75" customHeight="1" x14ac:dyDescent="0.25">
      <c r="A38" s="219" t="s">
        <v>124</v>
      </c>
      <c r="B38" s="220"/>
      <c r="C38" s="220"/>
      <c r="D38" s="220"/>
      <c r="E38" s="220"/>
      <c r="F38" s="221"/>
    </row>
    <row r="39" spans="1:9" ht="15.75" customHeight="1" x14ac:dyDescent="0.25"/>
    <row r="40" spans="1:9" ht="15.75" customHeight="1" x14ac:dyDescent="0.25">
      <c r="A40" s="89" t="s">
        <v>125</v>
      </c>
    </row>
    <row r="41" spans="1:9" ht="15.75" customHeight="1" x14ac:dyDescent="0.25">
      <c r="A41" s="90" t="s">
        <v>126</v>
      </c>
      <c r="B41" s="91" t="s">
        <v>100</v>
      </c>
      <c r="C41" s="92">
        <v>600000</v>
      </c>
      <c r="E41" s="93"/>
      <c r="F41" s="93"/>
      <c r="G41" s="93"/>
      <c r="H41" s="93"/>
      <c r="I41" s="94"/>
    </row>
    <row r="42" spans="1:9" ht="15.75" customHeight="1" x14ac:dyDescent="0.25">
      <c r="A42" s="90" t="s">
        <v>127</v>
      </c>
      <c r="B42" s="91" t="s">
        <v>128</v>
      </c>
      <c r="C42" s="95">
        <v>10</v>
      </c>
      <c r="E42" s="93"/>
      <c r="F42" s="93"/>
      <c r="G42" s="93"/>
      <c r="H42" s="93"/>
      <c r="I42" s="93"/>
    </row>
    <row r="43" spans="1:9" ht="15.75" customHeight="1" x14ac:dyDescent="0.25">
      <c r="A43" s="90" t="s">
        <v>129</v>
      </c>
      <c r="B43" s="91" t="s">
        <v>103</v>
      </c>
      <c r="C43" s="96">
        <v>20</v>
      </c>
      <c r="E43" s="93"/>
      <c r="F43" s="93"/>
      <c r="G43" s="93"/>
      <c r="H43" s="93"/>
      <c r="I43" s="93"/>
    </row>
    <row r="44" spans="1:9" ht="15.75" customHeight="1" x14ac:dyDescent="0.25">
      <c r="A44" s="90" t="s">
        <v>130</v>
      </c>
      <c r="B44" s="91" t="s">
        <v>100</v>
      </c>
      <c r="C44" s="92">
        <v>150000</v>
      </c>
    </row>
    <row r="45" spans="1:9" ht="15.75" customHeight="1" x14ac:dyDescent="0.25">
      <c r="A45" s="90" t="s">
        <v>131</v>
      </c>
      <c r="B45" s="91" t="s">
        <v>128</v>
      </c>
      <c r="C45" s="97">
        <v>0</v>
      </c>
    </row>
    <row r="46" spans="1:9" ht="15.75" customHeight="1" x14ac:dyDescent="0.25">
      <c r="A46" s="90" t="s">
        <v>132</v>
      </c>
      <c r="B46" s="91" t="s">
        <v>100</v>
      </c>
      <c r="C46" s="98">
        <f>((C41-C44)*(C43%*C45))</f>
        <v>0</v>
      </c>
    </row>
    <row r="47" spans="1:9" ht="15.75" customHeight="1" x14ac:dyDescent="0.25">
      <c r="A47" s="69"/>
      <c r="B47" s="90"/>
      <c r="C47" s="99"/>
    </row>
    <row r="48" spans="1:9" ht="15.75" customHeight="1" x14ac:dyDescent="0.25">
      <c r="A48" s="219" t="s">
        <v>133</v>
      </c>
      <c r="B48" s="220"/>
      <c r="C48" s="220"/>
      <c r="D48" s="220"/>
      <c r="E48" s="220"/>
      <c r="F48" s="221"/>
    </row>
    <row r="49" spans="1:6" ht="15.75" customHeight="1" x14ac:dyDescent="0.25">
      <c r="A49" s="100" t="s">
        <v>134</v>
      </c>
      <c r="B49" s="43"/>
      <c r="C49" s="43"/>
      <c r="D49" s="44"/>
      <c r="E49" s="44"/>
      <c r="F49" s="44"/>
    </row>
    <row r="50" spans="1:6" ht="15.75" customHeight="1" x14ac:dyDescent="0.25">
      <c r="A50" s="46" t="s">
        <v>87</v>
      </c>
      <c r="B50" s="47" t="s">
        <v>88</v>
      </c>
      <c r="C50" s="47" t="s">
        <v>89</v>
      </c>
      <c r="D50" s="48" t="s">
        <v>90</v>
      </c>
      <c r="E50" s="48" t="s">
        <v>91</v>
      </c>
      <c r="F50" s="49" t="s">
        <v>135</v>
      </c>
    </row>
    <row r="51" spans="1:6" ht="15.75" customHeight="1" x14ac:dyDescent="0.25">
      <c r="A51" s="50" t="s">
        <v>136</v>
      </c>
      <c r="B51" s="51" t="s">
        <v>119</v>
      </c>
      <c r="C51" s="101">
        <v>2</v>
      </c>
      <c r="D51" s="102">
        <f>C41</f>
        <v>600000</v>
      </c>
      <c r="E51" s="53">
        <f>C51*D51</f>
        <v>1200000</v>
      </c>
      <c r="F51" s="44"/>
    </row>
    <row r="52" spans="1:6" ht="15.75" customHeight="1" x14ac:dyDescent="0.25">
      <c r="A52" s="58" t="s">
        <v>137</v>
      </c>
      <c r="B52" s="59" t="s">
        <v>128</v>
      </c>
      <c r="C52" s="103">
        <f>C42</f>
        <v>10</v>
      </c>
      <c r="D52" s="61"/>
      <c r="E52" s="61"/>
      <c r="F52" s="44"/>
    </row>
    <row r="53" spans="1:6" ht="15.75" customHeight="1" x14ac:dyDescent="0.25">
      <c r="A53" s="58" t="s">
        <v>138</v>
      </c>
      <c r="B53" s="59" t="s">
        <v>128</v>
      </c>
      <c r="C53" s="104">
        <f>C45</f>
        <v>0</v>
      </c>
      <c r="D53" s="61"/>
      <c r="E53" s="61"/>
      <c r="F53" s="105"/>
    </row>
    <row r="54" spans="1:6" ht="15.75" customHeight="1" x14ac:dyDescent="0.25">
      <c r="A54" s="58" t="s">
        <v>139</v>
      </c>
      <c r="B54" s="59" t="s">
        <v>103</v>
      </c>
      <c r="C54" s="106">
        <v>100</v>
      </c>
      <c r="D54" s="61">
        <f>E51</f>
        <v>1200000</v>
      </c>
      <c r="E54" s="61">
        <f>C54*(D54-C44)/100</f>
        <v>1050000</v>
      </c>
      <c r="F54" s="44"/>
    </row>
    <row r="55" spans="1:6" ht="15.75" customHeight="1" x14ac:dyDescent="0.25">
      <c r="A55" s="107" t="s">
        <v>140</v>
      </c>
      <c r="B55" s="108" t="s">
        <v>94</v>
      </c>
      <c r="C55" s="108">
        <f>C52*12</f>
        <v>120</v>
      </c>
      <c r="D55" s="109">
        <f>IF(C53&lt;=C52,E54,0)</f>
        <v>1050000</v>
      </c>
      <c r="E55" s="109">
        <f>IFERROR(D55/C55,0)</f>
        <v>8750</v>
      </c>
      <c r="F55" s="44"/>
    </row>
    <row r="56" spans="1:6" ht="15.75" customHeight="1" x14ac:dyDescent="0.25">
      <c r="A56" s="110" t="s">
        <v>141</v>
      </c>
      <c r="B56" s="66"/>
      <c r="C56" s="66"/>
      <c r="D56" s="67"/>
      <c r="E56" s="111">
        <f>E55</f>
        <v>8750</v>
      </c>
      <c r="F56" s="44"/>
    </row>
    <row r="57" spans="1:6" ht="15.75" customHeight="1" x14ac:dyDescent="0.25">
      <c r="A57" s="65" t="s">
        <v>142</v>
      </c>
      <c r="B57" s="112" t="s">
        <v>119</v>
      </c>
      <c r="C57" s="63">
        <f>C16</f>
        <v>2</v>
      </c>
      <c r="D57" s="68">
        <f>E56</f>
        <v>8750</v>
      </c>
      <c r="E57" s="111">
        <f>C57*D57</f>
        <v>17500</v>
      </c>
      <c r="F57" s="44"/>
    </row>
    <row r="58" spans="1:6" ht="15.75" customHeight="1" x14ac:dyDescent="0.25">
      <c r="A58" s="113"/>
      <c r="B58" s="113"/>
      <c r="C58" s="113"/>
      <c r="D58" s="74" t="s">
        <v>109</v>
      </c>
      <c r="E58" s="75">
        <f>B1</f>
        <v>1</v>
      </c>
      <c r="F58" s="114">
        <f>E57*E58</f>
        <v>17500</v>
      </c>
    </row>
    <row r="59" spans="1:6" ht="15.75" customHeight="1" x14ac:dyDescent="0.25">
      <c r="F59" s="44"/>
    </row>
    <row r="60" spans="1:6" ht="15.75" customHeight="1" x14ac:dyDescent="0.25">
      <c r="A60" s="100" t="s">
        <v>143</v>
      </c>
      <c r="B60" s="43"/>
      <c r="C60" s="43"/>
      <c r="D60" s="44"/>
      <c r="E60" s="44"/>
      <c r="F60" s="44"/>
    </row>
    <row r="61" spans="1:6" ht="15.75" customHeight="1" x14ac:dyDescent="0.25">
      <c r="A61" s="115" t="s">
        <v>87</v>
      </c>
      <c r="B61" s="116" t="s">
        <v>88</v>
      </c>
      <c r="C61" s="116" t="s">
        <v>89</v>
      </c>
      <c r="D61" s="48" t="s">
        <v>90</v>
      </c>
      <c r="E61" s="117" t="s">
        <v>91</v>
      </c>
      <c r="F61" s="49" t="s">
        <v>144</v>
      </c>
    </row>
    <row r="62" spans="1:6" ht="15.75" customHeight="1" x14ac:dyDescent="0.25">
      <c r="A62" s="58" t="s">
        <v>145</v>
      </c>
      <c r="B62" s="59" t="s">
        <v>119</v>
      </c>
      <c r="C62" s="51">
        <f>C51</f>
        <v>2</v>
      </c>
      <c r="D62" s="61">
        <f>C41</f>
        <v>600000</v>
      </c>
      <c r="E62" s="61">
        <f>C62*D62</f>
        <v>1200000</v>
      </c>
    </row>
    <row r="63" spans="1:6" ht="15.75" customHeight="1" x14ac:dyDescent="0.25">
      <c r="A63" s="58" t="s">
        <v>146</v>
      </c>
      <c r="B63" s="59" t="s">
        <v>103</v>
      </c>
      <c r="C63" s="73">
        <v>15</v>
      </c>
      <c r="D63" s="61"/>
      <c r="E63" s="61"/>
    </row>
    <row r="64" spans="1:6" ht="15.75" customHeight="1" x14ac:dyDescent="0.25">
      <c r="A64" s="58" t="s">
        <v>147</v>
      </c>
      <c r="B64" s="59" t="s">
        <v>100</v>
      </c>
      <c r="C64" s="61">
        <f>C41</f>
        <v>600000</v>
      </c>
      <c r="D64" s="61"/>
      <c r="E64" s="61"/>
    </row>
    <row r="65" spans="1:6" ht="15.75" customHeight="1" x14ac:dyDescent="0.25">
      <c r="A65" s="58" t="s">
        <v>148</v>
      </c>
      <c r="B65" s="59" t="s">
        <v>100</v>
      </c>
      <c r="C65" s="61">
        <f>((C41-C46)-C44)*((C42+1)/(2*C42))+C44</f>
        <v>397500</v>
      </c>
      <c r="D65" s="61"/>
      <c r="E65" s="61"/>
      <c r="F65" s="44"/>
    </row>
    <row r="66" spans="1:6" ht="15.75" customHeight="1" x14ac:dyDescent="0.25">
      <c r="A66" s="107" t="s">
        <v>149</v>
      </c>
      <c r="B66" s="108" t="s">
        <v>100</v>
      </c>
      <c r="C66" s="108"/>
      <c r="D66" s="109">
        <f>C63*C65/12/100</f>
        <v>4968.75</v>
      </c>
      <c r="E66" s="109">
        <f>D66</f>
        <v>4968.75</v>
      </c>
    </row>
    <row r="67" spans="1:6" ht="15.75" customHeight="1" x14ac:dyDescent="0.25">
      <c r="A67" s="110" t="s">
        <v>141</v>
      </c>
      <c r="B67" s="66"/>
      <c r="C67" s="66"/>
      <c r="D67" s="67"/>
      <c r="E67" s="111">
        <f>E66</f>
        <v>4968.75</v>
      </c>
      <c r="F67" s="105"/>
    </row>
    <row r="68" spans="1:6" ht="15.75" customHeight="1" x14ac:dyDescent="0.25">
      <c r="A68" s="65" t="s">
        <v>142</v>
      </c>
      <c r="B68" s="112" t="s">
        <v>119</v>
      </c>
      <c r="C68" s="59">
        <f>C51</f>
        <v>2</v>
      </c>
      <c r="D68" s="68">
        <f>E67</f>
        <v>4968.75</v>
      </c>
      <c r="E68" s="111">
        <f>C68*D68</f>
        <v>9937.5</v>
      </c>
      <c r="F68" s="105"/>
    </row>
    <row r="69" spans="1:6" ht="15.75" customHeight="1" x14ac:dyDescent="0.25">
      <c r="A69" s="43"/>
      <c r="B69" s="43"/>
      <c r="C69" s="118"/>
      <c r="D69" s="74" t="s">
        <v>109</v>
      </c>
      <c r="E69" s="75">
        <f>B1</f>
        <v>1</v>
      </c>
      <c r="F69" s="114">
        <f>E68*E69</f>
        <v>9937.5</v>
      </c>
    </row>
    <row r="70" spans="1:6" ht="15.75" customHeight="1" x14ac:dyDescent="0.25">
      <c r="F70" s="105"/>
    </row>
    <row r="71" spans="1:6" ht="15.75" customHeight="1" x14ac:dyDescent="0.25">
      <c r="A71" s="90" t="s">
        <v>150</v>
      </c>
      <c r="F71" s="105"/>
    </row>
    <row r="72" spans="1:6" ht="15.75" customHeight="1" x14ac:dyDescent="0.25">
      <c r="F72" s="105"/>
    </row>
    <row r="73" spans="1:6" ht="15.75" customHeight="1" x14ac:dyDescent="0.25">
      <c r="A73" s="86" t="s">
        <v>151</v>
      </c>
      <c r="B73" s="86" t="s">
        <v>123</v>
      </c>
      <c r="C73" s="87"/>
      <c r="D73" s="87"/>
      <c r="E73" s="87"/>
      <c r="F73" s="88">
        <f>SUM(F58,F69)</f>
        <v>27437.5</v>
      </c>
    </row>
    <row r="74" spans="1:6" ht="15.75" customHeight="1" x14ac:dyDescent="0.25">
      <c r="F74" s="105"/>
    </row>
    <row r="75" spans="1:6" ht="15.75" customHeight="1" x14ac:dyDescent="0.25">
      <c r="A75" s="222" t="s">
        <v>152</v>
      </c>
      <c r="B75" s="217"/>
      <c r="C75" s="217"/>
      <c r="D75" s="217"/>
      <c r="E75" s="217"/>
      <c r="F75" s="218"/>
    </row>
    <row r="76" spans="1:6" ht="15.75" customHeight="1" x14ac:dyDescent="0.25">
      <c r="A76" s="43" t="s">
        <v>153</v>
      </c>
      <c r="B76" s="43"/>
      <c r="C76" s="43"/>
      <c r="D76" s="44"/>
      <c r="E76" s="44"/>
      <c r="F76" s="44"/>
    </row>
    <row r="77" spans="1:6" ht="15.75" customHeight="1" x14ac:dyDescent="0.25">
      <c r="A77" s="46" t="s">
        <v>87</v>
      </c>
      <c r="B77" s="47" t="s">
        <v>88</v>
      </c>
      <c r="C77" s="47" t="s">
        <v>89</v>
      </c>
      <c r="D77" s="48" t="s">
        <v>90</v>
      </c>
      <c r="E77" s="48" t="s">
        <v>91</v>
      </c>
      <c r="F77" s="49" t="s">
        <v>154</v>
      </c>
    </row>
    <row r="78" spans="1:6" ht="15.75" customHeight="1" x14ac:dyDescent="0.25">
      <c r="A78" s="50" t="s">
        <v>155</v>
      </c>
      <c r="B78" s="51" t="s">
        <v>119</v>
      </c>
      <c r="C78" s="53">
        <f t="shared" ref="C78:C80" si="1">$C$57</f>
        <v>2</v>
      </c>
      <c r="D78" s="53">
        <f>C41*0.01</f>
        <v>6000</v>
      </c>
      <c r="E78" s="53">
        <f t="shared" ref="E78:E80" si="2">C78*D78</f>
        <v>12000</v>
      </c>
      <c r="F78" s="44">
        <f>E78*E82</f>
        <v>12000</v>
      </c>
    </row>
    <row r="79" spans="1:6" ht="15.75" customHeight="1" x14ac:dyDescent="0.25">
      <c r="A79" s="58" t="s">
        <v>156</v>
      </c>
      <c r="B79" s="59" t="s">
        <v>119</v>
      </c>
      <c r="C79" s="53">
        <f t="shared" si="1"/>
        <v>2</v>
      </c>
      <c r="D79" s="119">
        <v>72.48</v>
      </c>
      <c r="E79" s="61">
        <f t="shared" si="2"/>
        <v>144.96</v>
      </c>
      <c r="F79" s="44">
        <f>E79*E82</f>
        <v>144.96</v>
      </c>
    </row>
    <row r="80" spans="1:6" ht="15.75" customHeight="1" x14ac:dyDescent="0.25">
      <c r="A80" s="120" t="s">
        <v>157</v>
      </c>
      <c r="B80" s="59" t="s">
        <v>119</v>
      </c>
      <c r="C80" s="53">
        <f t="shared" si="1"/>
        <v>2</v>
      </c>
      <c r="D80" s="121">
        <v>10000</v>
      </c>
      <c r="E80" s="61">
        <f t="shared" si="2"/>
        <v>20000</v>
      </c>
      <c r="F80" s="67">
        <f>E80*E82</f>
        <v>20000</v>
      </c>
    </row>
    <row r="81" spans="1:10" ht="15.75" customHeight="1" x14ac:dyDescent="0.25">
      <c r="A81" s="65" t="s">
        <v>158</v>
      </c>
      <c r="B81" s="112" t="s">
        <v>94</v>
      </c>
      <c r="C81" s="112">
        <v>12</v>
      </c>
      <c r="D81" s="68">
        <f>SUM(E78:E80)</f>
        <v>32144.959999999999</v>
      </c>
      <c r="E81" s="68">
        <f>D81/C81</f>
        <v>2678.7466666666664</v>
      </c>
      <c r="F81" s="44"/>
    </row>
    <row r="82" spans="1:10" ht="15.75" customHeight="1" x14ac:dyDescent="0.25">
      <c r="A82" s="43"/>
      <c r="B82" s="43"/>
      <c r="C82" s="43"/>
      <c r="D82" s="74" t="s">
        <v>109</v>
      </c>
      <c r="E82" s="75">
        <f>B1</f>
        <v>1</v>
      </c>
      <c r="F82" s="76">
        <f>E81*E82</f>
        <v>2678.7466666666664</v>
      </c>
    </row>
    <row r="83" spans="1:10" ht="15.75" customHeight="1" x14ac:dyDescent="0.25">
      <c r="A83" s="43"/>
      <c r="B83" s="43"/>
      <c r="C83" s="43"/>
      <c r="D83" s="44"/>
      <c r="E83" s="44"/>
      <c r="F83" s="44"/>
    </row>
    <row r="84" spans="1:10" ht="15.75" customHeight="1" x14ac:dyDescent="0.25">
      <c r="A84" s="43" t="s">
        <v>159</v>
      </c>
      <c r="B84" s="122"/>
      <c r="C84" s="43"/>
      <c r="D84" s="44"/>
      <c r="E84" s="44"/>
      <c r="F84" s="44"/>
    </row>
    <row r="85" spans="1:10" ht="15.75" customHeight="1" x14ac:dyDescent="0.25">
      <c r="A85" s="43"/>
      <c r="B85" s="122"/>
      <c r="C85" s="43"/>
      <c r="D85" s="44"/>
      <c r="E85" s="44"/>
      <c r="F85" s="44"/>
    </row>
    <row r="86" spans="1:10" ht="15.75" customHeight="1" x14ac:dyDescent="0.25">
      <c r="A86" s="65" t="s">
        <v>160</v>
      </c>
      <c r="B86" s="123" t="s">
        <v>161</v>
      </c>
      <c r="C86" s="43"/>
      <c r="D86" s="44"/>
      <c r="E86" s="44"/>
      <c r="F86" s="44"/>
    </row>
    <row r="87" spans="1:10" ht="15.75" customHeight="1" x14ac:dyDescent="0.25">
      <c r="A87" s="65" t="s">
        <v>162</v>
      </c>
      <c r="B87" s="124" t="s">
        <v>163</v>
      </c>
      <c r="C87" s="43"/>
      <c r="D87" s="44"/>
      <c r="E87" s="44"/>
      <c r="F87" s="44"/>
      <c r="I87" s="125"/>
    </row>
    <row r="88" spans="1:10" ht="15.75" customHeight="1" x14ac:dyDescent="0.25">
      <c r="A88" s="43"/>
      <c r="B88" s="122"/>
      <c r="C88" s="43"/>
      <c r="D88" s="44"/>
      <c r="E88" s="44"/>
      <c r="F88" s="44"/>
      <c r="I88" s="45"/>
      <c r="J88" s="45"/>
    </row>
    <row r="89" spans="1:10" ht="15.75" customHeight="1" x14ac:dyDescent="0.25">
      <c r="A89" s="65" t="s">
        <v>164</v>
      </c>
      <c r="B89" s="126">
        <v>9200</v>
      </c>
      <c r="C89" s="43"/>
      <c r="D89" s="44"/>
      <c r="E89" s="44"/>
      <c r="F89" s="44"/>
      <c r="I89" s="45"/>
      <c r="J89" s="45"/>
    </row>
    <row r="90" spans="1:10" ht="15.75" customHeight="1" x14ac:dyDescent="0.25">
      <c r="A90" s="43"/>
      <c r="B90" s="122"/>
      <c r="C90" s="43"/>
      <c r="D90" s="44"/>
      <c r="E90" s="44"/>
      <c r="F90" s="44"/>
      <c r="I90" s="45"/>
      <c r="J90" s="45"/>
    </row>
    <row r="91" spans="1:10" ht="15.75" customHeight="1" x14ac:dyDescent="0.25">
      <c r="A91" s="46" t="s">
        <v>87</v>
      </c>
      <c r="B91" s="47" t="s">
        <v>88</v>
      </c>
      <c r="C91" s="47" t="s">
        <v>165</v>
      </c>
      <c r="D91" s="48" t="s">
        <v>90</v>
      </c>
      <c r="E91" s="48" t="s">
        <v>91</v>
      </c>
      <c r="F91" s="49" t="s">
        <v>166</v>
      </c>
      <c r="I91" s="45"/>
      <c r="J91" s="45"/>
    </row>
    <row r="92" spans="1:10" ht="15.75" customHeight="1" x14ac:dyDescent="0.25">
      <c r="A92" s="127" t="s">
        <v>167</v>
      </c>
      <c r="B92" s="51" t="s">
        <v>168</v>
      </c>
      <c r="C92" s="128">
        <v>3</v>
      </c>
      <c r="D92" s="129">
        <v>6.09</v>
      </c>
      <c r="E92" s="53"/>
      <c r="F92" s="44"/>
      <c r="G92" s="130"/>
      <c r="H92" s="130"/>
      <c r="I92" s="130"/>
      <c r="J92" s="130"/>
    </row>
    <row r="93" spans="1:10" ht="15.75" customHeight="1" x14ac:dyDescent="0.25">
      <c r="A93" s="58" t="s">
        <v>169</v>
      </c>
      <c r="B93" s="59" t="s">
        <v>170</v>
      </c>
      <c r="C93" s="78">
        <f>B89</f>
        <v>9200</v>
      </c>
      <c r="D93" s="131">
        <f>IFERROR(+D92/C92,"-")</f>
        <v>2.0299999999999998</v>
      </c>
      <c r="E93" s="61">
        <f>IFERROR(C93*D93,"-")</f>
        <v>18676</v>
      </c>
      <c r="F93" s="44"/>
      <c r="I93" s="45"/>
      <c r="J93" s="45"/>
    </row>
    <row r="94" spans="1:10" ht="15.75" customHeight="1" x14ac:dyDescent="0.25">
      <c r="A94" s="58" t="s">
        <v>171</v>
      </c>
      <c r="B94" s="59" t="s">
        <v>172</v>
      </c>
      <c r="C94" s="132">
        <v>1</v>
      </c>
      <c r="D94" s="133">
        <v>50</v>
      </c>
      <c r="E94" s="61"/>
      <c r="F94" s="44"/>
    </row>
    <row r="95" spans="1:10" ht="15.75" customHeight="1" x14ac:dyDescent="0.25">
      <c r="A95" s="58" t="s">
        <v>173</v>
      </c>
      <c r="B95" s="59" t="s">
        <v>170</v>
      </c>
      <c r="C95" s="78">
        <f>C93</f>
        <v>9200</v>
      </c>
      <c r="D95" s="134">
        <f>+C94*D94/1000</f>
        <v>0.05</v>
      </c>
      <c r="E95" s="61">
        <f>C95*D95</f>
        <v>460</v>
      </c>
      <c r="F95" s="44"/>
    </row>
    <row r="96" spans="1:10" ht="15.75" customHeight="1" x14ac:dyDescent="0.25">
      <c r="A96" s="58" t="s">
        <v>174</v>
      </c>
      <c r="B96" s="59" t="s">
        <v>172</v>
      </c>
      <c r="C96" s="132">
        <v>0.5</v>
      </c>
      <c r="D96" s="133">
        <v>20</v>
      </c>
      <c r="E96" s="61"/>
      <c r="F96" s="44"/>
    </row>
    <row r="97" spans="1:9" ht="15.75" customHeight="1" x14ac:dyDescent="0.25">
      <c r="A97" s="58" t="s">
        <v>175</v>
      </c>
      <c r="B97" s="59" t="s">
        <v>170</v>
      </c>
      <c r="C97" s="78">
        <f>C93</f>
        <v>9200</v>
      </c>
      <c r="D97" s="134">
        <f>+C96*D96/1000</f>
        <v>0.01</v>
      </c>
      <c r="E97" s="61">
        <f>C97*D97</f>
        <v>92</v>
      </c>
      <c r="F97" s="44"/>
    </row>
    <row r="98" spans="1:9" ht="15.75" customHeight="1" x14ac:dyDescent="0.25">
      <c r="A98" s="58" t="s">
        <v>176</v>
      </c>
      <c r="B98" s="59" t="s">
        <v>172</v>
      </c>
      <c r="C98" s="132">
        <v>0.5</v>
      </c>
      <c r="D98" s="133">
        <v>16</v>
      </c>
      <c r="E98" s="61"/>
      <c r="F98" s="44"/>
    </row>
    <row r="99" spans="1:9" ht="15.75" customHeight="1" x14ac:dyDescent="0.25">
      <c r="A99" s="58" t="s">
        <v>177</v>
      </c>
      <c r="B99" s="59" t="s">
        <v>170</v>
      </c>
      <c r="C99" s="78">
        <f>C93</f>
        <v>9200</v>
      </c>
      <c r="D99" s="134">
        <f>+C98*D98/1000</f>
        <v>8.0000000000000002E-3</v>
      </c>
      <c r="E99" s="61">
        <f>C99*D99</f>
        <v>73.600000000000009</v>
      </c>
      <c r="F99" s="44"/>
    </row>
    <row r="100" spans="1:9" ht="15.75" customHeight="1" x14ac:dyDescent="0.25">
      <c r="A100" s="58" t="s">
        <v>178</v>
      </c>
      <c r="B100" s="59" t="s">
        <v>179</v>
      </c>
      <c r="C100" s="132">
        <v>0.3</v>
      </c>
      <c r="D100" s="133">
        <v>9.3800000000000008</v>
      </c>
      <c r="E100" s="61"/>
      <c r="F100" s="44"/>
    </row>
    <row r="101" spans="1:9" ht="15.75" customHeight="1" x14ac:dyDescent="0.25">
      <c r="A101" s="58" t="s">
        <v>180</v>
      </c>
      <c r="B101" s="59" t="s">
        <v>170</v>
      </c>
      <c r="C101" s="78">
        <f>C93</f>
        <v>9200</v>
      </c>
      <c r="D101" s="134">
        <f>+C100*D100/1000</f>
        <v>2.8140000000000001E-3</v>
      </c>
      <c r="E101" s="61">
        <f>C101*D101</f>
        <v>25.8888</v>
      </c>
      <c r="F101" s="44"/>
    </row>
    <row r="102" spans="1:9" ht="15.75" customHeight="1" x14ac:dyDescent="0.25">
      <c r="A102" s="65" t="s">
        <v>181</v>
      </c>
      <c r="B102" s="112" t="s">
        <v>182</v>
      </c>
      <c r="C102" s="135"/>
      <c r="D102" s="136">
        <f>IFERROR(D93+D95+D97+D99+D101,0)</f>
        <v>2.1008139999999993</v>
      </c>
      <c r="E102" s="61"/>
      <c r="F102" s="44"/>
    </row>
    <row r="103" spans="1:9" ht="15.75" customHeight="1" x14ac:dyDescent="0.25">
      <c r="A103" s="43"/>
      <c r="B103" s="43"/>
      <c r="C103" s="43"/>
      <c r="D103" s="44"/>
      <c r="E103" s="44"/>
      <c r="F103" s="114">
        <f>SUM(E92:E101)</f>
        <v>19327.488799999999</v>
      </c>
    </row>
    <row r="104" spans="1:9" ht="15.75" customHeight="1" x14ac:dyDescent="0.25">
      <c r="A104" s="43"/>
      <c r="B104" s="43"/>
      <c r="C104" s="43"/>
      <c r="D104" s="44"/>
      <c r="E104" s="44"/>
      <c r="F104" s="44"/>
    </row>
    <row r="105" spans="1:9" ht="15.75" customHeight="1" x14ac:dyDescent="0.25">
      <c r="A105" s="43" t="s">
        <v>183</v>
      </c>
      <c r="B105" s="43"/>
      <c r="C105" s="43"/>
      <c r="D105" s="44"/>
      <c r="E105" s="44"/>
      <c r="F105" s="44"/>
    </row>
    <row r="106" spans="1:9" ht="15.75" customHeight="1" x14ac:dyDescent="0.25">
      <c r="A106" s="46" t="s">
        <v>87</v>
      </c>
      <c r="B106" s="47" t="s">
        <v>88</v>
      </c>
      <c r="C106" s="47" t="s">
        <v>89</v>
      </c>
      <c r="D106" s="48" t="s">
        <v>90</v>
      </c>
      <c r="E106" s="48" t="s">
        <v>91</v>
      </c>
      <c r="F106" s="49" t="s">
        <v>184</v>
      </c>
      <c r="I106" s="45"/>
    </row>
    <row r="107" spans="1:9" ht="15.75" customHeight="1" x14ac:dyDescent="0.25">
      <c r="A107" s="50" t="s">
        <v>185</v>
      </c>
      <c r="B107" s="51" t="s">
        <v>182</v>
      </c>
      <c r="C107" s="78">
        <f>B89</f>
        <v>9200</v>
      </c>
      <c r="D107" s="137">
        <v>1.06</v>
      </c>
      <c r="E107" s="53">
        <f>C107*D107</f>
        <v>9752</v>
      </c>
      <c r="F107" s="44"/>
      <c r="I107" s="45"/>
    </row>
    <row r="108" spans="1:9" ht="15.75" customHeight="1" x14ac:dyDescent="0.25">
      <c r="A108" s="58" t="s">
        <v>186</v>
      </c>
      <c r="B108" s="59"/>
      <c r="C108" s="78">
        <v>2</v>
      </c>
      <c r="D108" s="133">
        <v>271.68</v>
      </c>
      <c r="E108" s="53">
        <f>(C108*D108)/12</f>
        <v>45.28</v>
      </c>
      <c r="F108" s="44"/>
      <c r="I108" s="45"/>
    </row>
    <row r="109" spans="1:9" ht="15.75" customHeight="1" x14ac:dyDescent="0.25">
      <c r="A109" s="43"/>
      <c r="B109" s="43"/>
      <c r="C109" s="43"/>
      <c r="D109" s="44"/>
      <c r="E109" s="44"/>
      <c r="F109" s="114">
        <f>SUM(E107:E108)</f>
        <v>9797.2800000000007</v>
      </c>
      <c r="I109" s="45"/>
    </row>
    <row r="110" spans="1:9" ht="15.75" customHeight="1" x14ac:dyDescent="0.25">
      <c r="A110" s="43"/>
      <c r="B110" s="43"/>
      <c r="C110" s="43"/>
      <c r="D110" s="44"/>
      <c r="E110" s="44"/>
      <c r="F110" s="44"/>
      <c r="I110" s="45"/>
    </row>
    <row r="111" spans="1:9" ht="15.75" customHeight="1" x14ac:dyDescent="0.25">
      <c r="A111" s="43" t="s">
        <v>187</v>
      </c>
      <c r="B111" s="43"/>
      <c r="C111" s="43"/>
      <c r="D111" s="44"/>
      <c r="E111" s="44"/>
      <c r="F111" s="44"/>
    </row>
    <row r="112" spans="1:9" ht="15.75" customHeight="1" x14ac:dyDescent="0.25">
      <c r="A112" s="46" t="s">
        <v>87</v>
      </c>
      <c r="B112" s="47" t="s">
        <v>88</v>
      </c>
      <c r="C112" s="47" t="s">
        <v>89</v>
      </c>
      <c r="D112" s="48" t="s">
        <v>90</v>
      </c>
      <c r="E112" s="48" t="s">
        <v>91</v>
      </c>
      <c r="F112" s="49" t="s">
        <v>188</v>
      </c>
    </row>
    <row r="113" spans="1:9" ht="15.75" customHeight="1" x14ac:dyDescent="0.25">
      <c r="A113" s="50"/>
      <c r="B113" s="51" t="s">
        <v>119</v>
      </c>
      <c r="C113" s="138">
        <v>4</v>
      </c>
      <c r="D113" s="139">
        <v>1045</v>
      </c>
      <c r="E113" s="53">
        <f>C113*D113</f>
        <v>4180</v>
      </c>
      <c r="F113" s="44"/>
    </row>
    <row r="114" spans="1:9" ht="15.75" customHeight="1" x14ac:dyDescent="0.25">
      <c r="A114" s="50" t="s">
        <v>189</v>
      </c>
      <c r="B114" s="51" t="s">
        <v>119</v>
      </c>
      <c r="C114" s="138">
        <v>1</v>
      </c>
      <c r="D114" s="53"/>
      <c r="E114" s="53"/>
      <c r="F114" s="44"/>
    </row>
    <row r="115" spans="1:9" ht="15.75" customHeight="1" x14ac:dyDescent="0.25">
      <c r="A115" s="50" t="s">
        <v>190</v>
      </c>
      <c r="B115" s="51" t="s">
        <v>119</v>
      </c>
      <c r="C115" s="53">
        <f>C113*C114</f>
        <v>4</v>
      </c>
      <c r="D115" s="139">
        <v>600</v>
      </c>
      <c r="E115" s="53">
        <f>C115*D115</f>
        <v>2400</v>
      </c>
      <c r="F115" s="44"/>
    </row>
    <row r="116" spans="1:9" ht="15.75" customHeight="1" x14ac:dyDescent="0.25">
      <c r="A116" s="58" t="s">
        <v>191</v>
      </c>
      <c r="B116" s="59" t="s">
        <v>192</v>
      </c>
      <c r="C116" s="140">
        <v>50000</v>
      </c>
      <c r="D116" s="61">
        <f>E113+E115</f>
        <v>6580</v>
      </c>
      <c r="E116" s="61">
        <f>IFERROR(D116/C116,"-")</f>
        <v>0.13159999999999999</v>
      </c>
      <c r="F116" s="44"/>
    </row>
    <row r="117" spans="1:9" ht="15.75" customHeight="1" x14ac:dyDescent="0.25">
      <c r="A117" s="58" t="s">
        <v>193</v>
      </c>
      <c r="B117" s="59" t="s">
        <v>170</v>
      </c>
      <c r="C117" s="78">
        <f>B89</f>
        <v>9200</v>
      </c>
      <c r="D117" s="61">
        <f>E116</f>
        <v>0.13159999999999999</v>
      </c>
      <c r="E117" s="61">
        <f>IFERROR(C117*D117,0)</f>
        <v>1210.72</v>
      </c>
      <c r="F117" s="44"/>
    </row>
    <row r="118" spans="1:9" ht="15.75" customHeight="1" x14ac:dyDescent="0.25">
      <c r="A118" s="43"/>
      <c r="B118" s="43"/>
      <c r="C118" s="43"/>
      <c r="D118" s="44"/>
      <c r="E118" s="44"/>
      <c r="F118" s="114">
        <f>E117</f>
        <v>1210.72</v>
      </c>
    </row>
    <row r="119" spans="1:9" ht="15.75" customHeight="1" x14ac:dyDescent="0.25">
      <c r="A119" s="43"/>
      <c r="B119" s="43"/>
      <c r="C119" s="43"/>
      <c r="D119" s="44"/>
      <c r="E119" s="44"/>
      <c r="F119" s="44"/>
    </row>
    <row r="120" spans="1:9" ht="15.75" customHeight="1" x14ac:dyDescent="0.25">
      <c r="A120" s="141" t="s">
        <v>194</v>
      </c>
      <c r="B120" s="43"/>
      <c r="C120" s="43"/>
      <c r="D120" s="44"/>
      <c r="E120" s="44"/>
      <c r="F120" s="44"/>
    </row>
    <row r="121" spans="1:9" ht="15.75" customHeight="1" x14ac:dyDescent="0.25">
      <c r="A121" s="46" t="s">
        <v>87</v>
      </c>
      <c r="B121" s="47" t="s">
        <v>88</v>
      </c>
      <c r="C121" s="47" t="s">
        <v>89</v>
      </c>
      <c r="D121" s="48" t="s">
        <v>90</v>
      </c>
      <c r="E121" s="48" t="s">
        <v>91</v>
      </c>
      <c r="F121" s="49" t="s">
        <v>195</v>
      </c>
    </row>
    <row r="122" spans="1:9" ht="15.75" customHeight="1" x14ac:dyDescent="0.25">
      <c r="A122" s="142" t="s">
        <v>196</v>
      </c>
      <c r="B122" s="51" t="s">
        <v>119</v>
      </c>
      <c r="C122" s="138">
        <f>4*20</f>
        <v>80</v>
      </c>
      <c r="D122" s="143">
        <v>16.5</v>
      </c>
      <c r="E122" s="53">
        <f>C122*D122</f>
        <v>1320</v>
      </c>
      <c r="F122" s="44"/>
    </row>
    <row r="123" spans="1:9" ht="15.75" customHeight="1" x14ac:dyDescent="0.25">
      <c r="A123" s="43"/>
      <c r="B123" s="43"/>
      <c r="C123" s="43"/>
      <c r="D123" s="44"/>
      <c r="E123" s="44"/>
      <c r="F123" s="114">
        <f>E122</f>
        <v>1320</v>
      </c>
    </row>
    <row r="124" spans="1:9" ht="15.75" customHeight="1" x14ac:dyDescent="0.25">
      <c r="A124" s="43"/>
      <c r="B124" s="43"/>
      <c r="C124" s="43"/>
      <c r="D124" s="44"/>
      <c r="E124" s="44"/>
      <c r="F124" s="44"/>
      <c r="I124" s="1"/>
    </row>
    <row r="125" spans="1:9" ht="15.75" customHeight="1" x14ac:dyDescent="0.25">
      <c r="A125" s="86" t="s">
        <v>197</v>
      </c>
      <c r="B125" s="144" t="s">
        <v>123</v>
      </c>
      <c r="C125" s="87"/>
      <c r="D125" s="87"/>
      <c r="E125" s="87"/>
      <c r="F125" s="88">
        <f>F82+F103+F109+F118+F123</f>
        <v>34334.235466666665</v>
      </c>
    </row>
    <row r="126" spans="1:9" ht="15.75" customHeight="1" x14ac:dyDescent="0.25"/>
    <row r="127" spans="1:9" ht="15.75" customHeight="1" x14ac:dyDescent="0.25">
      <c r="A127" s="145" t="s">
        <v>198</v>
      </c>
      <c r="B127" s="146"/>
      <c r="C127" s="146"/>
      <c r="D127" s="147"/>
      <c r="E127" s="147"/>
      <c r="F127" s="147"/>
    </row>
    <row r="128" spans="1:9" ht="15.75" customHeight="1" x14ac:dyDescent="0.25">
      <c r="A128" s="148"/>
      <c r="B128" s="148"/>
      <c r="C128" s="148"/>
      <c r="D128" s="149"/>
      <c r="E128" s="149"/>
      <c r="F128" s="149"/>
    </row>
    <row r="129" spans="1:6" ht="15.75" customHeight="1" x14ac:dyDescent="0.25">
      <c r="A129" s="150" t="s">
        <v>87</v>
      </c>
      <c r="B129" s="150" t="s">
        <v>88</v>
      </c>
      <c r="C129" s="150" t="s">
        <v>89</v>
      </c>
      <c r="D129" s="151" t="s">
        <v>90</v>
      </c>
      <c r="E129" s="151" t="s">
        <v>91</v>
      </c>
      <c r="F129" s="152" t="s">
        <v>199</v>
      </c>
    </row>
    <row r="130" spans="1:6" ht="15.75" customHeight="1" x14ac:dyDescent="0.25">
      <c r="A130" s="50" t="s">
        <v>200</v>
      </c>
      <c r="B130" s="50" t="s">
        <v>201</v>
      </c>
      <c r="C130" s="58">
        <f>C57</f>
        <v>2</v>
      </c>
      <c r="D130" s="143">
        <v>200</v>
      </c>
      <c r="E130" s="153">
        <f>+D130*C130</f>
        <v>400</v>
      </c>
      <c r="F130" s="147"/>
    </row>
    <row r="131" spans="1:6" ht="15.75" customHeight="1" x14ac:dyDescent="0.25">
      <c r="A131" s="50" t="s">
        <v>202</v>
      </c>
      <c r="B131" s="50" t="s">
        <v>94</v>
      </c>
      <c r="C131" s="58">
        <v>60</v>
      </c>
      <c r="D131" s="153">
        <f>SUM(E130)</f>
        <v>400</v>
      </c>
      <c r="E131" s="153">
        <f>+D131/C131</f>
        <v>6.666666666666667</v>
      </c>
      <c r="F131" s="147"/>
    </row>
    <row r="132" spans="1:6" ht="15.75" customHeight="1" x14ac:dyDescent="0.25">
      <c r="A132" s="50" t="s">
        <v>203</v>
      </c>
      <c r="B132" s="50" t="s">
        <v>119</v>
      </c>
      <c r="C132" s="58">
        <f>+C130</f>
        <v>2</v>
      </c>
      <c r="D132" s="143">
        <v>100</v>
      </c>
      <c r="E132" s="153">
        <f>C132*D132</f>
        <v>200</v>
      </c>
      <c r="F132" s="147"/>
    </row>
    <row r="133" spans="1:6" ht="15.75" customHeight="1" x14ac:dyDescent="0.25">
      <c r="A133" s="50" t="s">
        <v>204</v>
      </c>
      <c r="B133" s="50" t="s">
        <v>94</v>
      </c>
      <c r="C133" s="58">
        <v>1</v>
      </c>
      <c r="D133" s="153">
        <f>+E132</f>
        <v>200</v>
      </c>
      <c r="E133" s="153">
        <f>+D133/C133</f>
        <v>200</v>
      </c>
      <c r="F133" s="149"/>
    </row>
    <row r="134" spans="1:6" ht="15.75" customHeight="1" x14ac:dyDescent="0.25">
      <c r="A134" s="90"/>
      <c r="B134" s="90"/>
      <c r="C134" s="58"/>
      <c r="D134" s="58" t="s">
        <v>109</v>
      </c>
      <c r="E134" s="154">
        <f>B1</f>
        <v>1</v>
      </c>
      <c r="F134" s="114">
        <f>(E131+E133)*E134</f>
        <v>206.66666666666666</v>
      </c>
    </row>
    <row r="135" spans="1:6" ht="15.75" customHeight="1" x14ac:dyDescent="0.25">
      <c r="A135" s="148"/>
      <c r="B135" s="148"/>
      <c r="C135" s="155"/>
      <c r="D135" s="149"/>
      <c r="E135" s="149"/>
      <c r="F135" s="149"/>
    </row>
    <row r="136" spans="1:6" ht="15.75" customHeight="1" x14ac:dyDescent="0.25">
      <c r="A136" s="86" t="s">
        <v>205</v>
      </c>
      <c r="B136" s="223"/>
      <c r="C136" s="217"/>
      <c r="D136" s="217"/>
      <c r="E136" s="218"/>
      <c r="F136" s="114">
        <f>+F134</f>
        <v>206.66666666666666</v>
      </c>
    </row>
    <row r="137" spans="1:6" ht="15.75" customHeight="1" x14ac:dyDescent="0.25"/>
    <row r="138" spans="1:6" ht="15.75" customHeight="1" x14ac:dyDescent="0.25"/>
    <row r="139" spans="1:6" ht="15.75" customHeight="1" x14ac:dyDescent="0.25">
      <c r="A139" s="86" t="s">
        <v>206</v>
      </c>
      <c r="B139" s="144" t="s">
        <v>123</v>
      </c>
      <c r="C139" s="87"/>
      <c r="D139" s="87"/>
      <c r="E139" s="87"/>
      <c r="F139" s="88">
        <f>SUM(F36+F73+F125+F136)</f>
        <v>74654.584796445648</v>
      </c>
    </row>
    <row r="140" spans="1:6" ht="15.75" customHeight="1" x14ac:dyDescent="0.25"/>
    <row r="141" spans="1:6" ht="15.75" customHeight="1" x14ac:dyDescent="0.25">
      <c r="A141" s="156" t="s">
        <v>207</v>
      </c>
      <c r="B141" s="144" t="s">
        <v>123</v>
      </c>
      <c r="C141" s="87"/>
      <c r="D141" s="87"/>
      <c r="E141" s="87"/>
      <c r="F141" s="88">
        <f>BDI!F22</f>
        <v>19133.970083329015</v>
      </c>
    </row>
    <row r="142" spans="1:6" ht="15.75" customHeight="1" x14ac:dyDescent="0.25"/>
    <row r="143" spans="1:6" ht="15.75" customHeight="1" x14ac:dyDescent="0.25">
      <c r="A143" s="216" t="s">
        <v>208</v>
      </c>
      <c r="B143" s="217"/>
      <c r="C143" s="218"/>
    </row>
    <row r="144" spans="1:6" ht="15.75" customHeight="1" x14ac:dyDescent="0.25">
      <c r="A144" s="157" t="s">
        <v>32</v>
      </c>
      <c r="B144" s="158" t="s">
        <v>209</v>
      </c>
      <c r="C144" s="159" t="s">
        <v>103</v>
      </c>
    </row>
    <row r="145" spans="1:3" ht="15.75" customHeight="1" x14ac:dyDescent="0.25">
      <c r="A145" s="160" t="str">
        <f t="shared" ref="A145:A146" si="3">A3</f>
        <v>3. Composição da mão-de-obra</v>
      </c>
      <c r="B145" s="161">
        <f>SUM(B146:B149)</f>
        <v>12676.182663112309</v>
      </c>
      <c r="C145" s="162">
        <f t="shared" ref="C145:C160" si="4">IFERROR(B145/$B$160,0)</f>
        <v>0.13515703146680969</v>
      </c>
    </row>
    <row r="146" spans="1:3" ht="15.75" customHeight="1" x14ac:dyDescent="0.25">
      <c r="A146" s="163" t="str">
        <f t="shared" si="3"/>
        <v>3.1. Motorista Turno do Dia</v>
      </c>
      <c r="B146" s="164">
        <f>F17</f>
        <v>10456.890355420001</v>
      </c>
      <c r="C146" s="162">
        <f t="shared" si="4"/>
        <v>0.11149431152686427</v>
      </c>
    </row>
    <row r="147" spans="1:3" ht="15.75" customHeight="1" x14ac:dyDescent="0.25">
      <c r="A147" s="163" t="str">
        <f>A19</f>
        <v>3.3. Vale Transporte</v>
      </c>
      <c r="B147" s="164">
        <f>F24</f>
        <v>198.75230769230774</v>
      </c>
      <c r="C147" s="162">
        <f t="shared" si="4"/>
        <v>2.1191531093221732E-3</v>
      </c>
    </row>
    <row r="148" spans="1:3" ht="15.75" customHeight="1" x14ac:dyDescent="0.25">
      <c r="A148" s="163" t="str">
        <f>A26</f>
        <v>3.4. Vale-refeição (diário)</v>
      </c>
      <c r="B148" s="164">
        <f>F29</f>
        <v>1337.2</v>
      </c>
      <c r="C148" s="162">
        <f t="shared" si="4"/>
        <v>1.4257603198110105E-2</v>
      </c>
    </row>
    <row r="149" spans="1:3" ht="15.75" customHeight="1" x14ac:dyDescent="0.25">
      <c r="A149" s="163" t="str">
        <f>A31</f>
        <v>3.5. Auxílio Alimentação (mensal)</v>
      </c>
      <c r="B149" s="164">
        <f>F34</f>
        <v>683.34</v>
      </c>
      <c r="C149" s="162">
        <f t="shared" si="4"/>
        <v>7.2859636325131316E-3</v>
      </c>
    </row>
    <row r="150" spans="1:3" ht="15.75" customHeight="1" x14ac:dyDescent="0.25">
      <c r="A150" s="160" t="str">
        <f>A38</f>
        <v>4. Veículos</v>
      </c>
      <c r="B150" s="161">
        <f>SUM(B151:B158)</f>
        <v>61978.402133333329</v>
      </c>
      <c r="C150" s="162">
        <f t="shared" si="4"/>
        <v>0.66083118790754369</v>
      </c>
    </row>
    <row r="151" spans="1:3" ht="15.75" customHeight="1" x14ac:dyDescent="0.25">
      <c r="A151" s="165" t="s">
        <v>134</v>
      </c>
      <c r="B151" s="164">
        <f>F58</f>
        <v>17500</v>
      </c>
      <c r="C151" s="162">
        <f t="shared" si="4"/>
        <v>0.18658993117478823</v>
      </c>
    </row>
    <row r="152" spans="1:3" ht="15.75" customHeight="1" x14ac:dyDescent="0.25">
      <c r="A152" s="165" t="s">
        <v>143</v>
      </c>
      <c r="B152" s="164">
        <f>F69</f>
        <v>9937.5</v>
      </c>
      <c r="C152" s="162">
        <f t="shared" si="4"/>
        <v>0.10595642520282618</v>
      </c>
    </row>
    <row r="153" spans="1:3" ht="15.75" customHeight="1" x14ac:dyDescent="0.25">
      <c r="A153" s="163" t="str">
        <f>A76</f>
        <v>5.1. Impostos e Seguros</v>
      </c>
      <c r="B153" s="164">
        <f>F82</f>
        <v>2678.7466666666664</v>
      </c>
      <c r="C153" s="162">
        <f t="shared" si="4"/>
        <v>2.8561551781030096E-2</v>
      </c>
    </row>
    <row r="154" spans="1:3" ht="15.75" customHeight="1" x14ac:dyDescent="0.25">
      <c r="A154" s="163" t="str">
        <f>A84</f>
        <v>5.2. Consumos</v>
      </c>
      <c r="B154" s="164">
        <f>F103</f>
        <v>19327.488799999999</v>
      </c>
      <c r="C154" s="162">
        <f t="shared" si="4"/>
        <v>0.20607513171277086</v>
      </c>
    </row>
    <row r="155" spans="1:3" ht="15.75" customHeight="1" x14ac:dyDescent="0.25">
      <c r="A155" s="163" t="str">
        <f>A105</f>
        <v>5.3. Manutenção preventiva e corretiva</v>
      </c>
      <c r="B155" s="164">
        <f>F109</f>
        <v>9797.2800000000007</v>
      </c>
      <c r="C155" s="162">
        <f t="shared" si="4"/>
        <v>0.10446136005143597</v>
      </c>
    </row>
    <row r="156" spans="1:3" ht="15.75" customHeight="1" x14ac:dyDescent="0.25">
      <c r="A156" s="163" t="str">
        <f>A111</f>
        <v>5.4. Pneus</v>
      </c>
      <c r="B156" s="164">
        <f>F118</f>
        <v>1210.72</v>
      </c>
      <c r="C156" s="162">
        <f t="shared" si="4"/>
        <v>1.2909037798396548E-2</v>
      </c>
    </row>
    <row r="157" spans="1:3" ht="15.75" customHeight="1" x14ac:dyDescent="0.25">
      <c r="A157" s="163" t="str">
        <f>A120</f>
        <v>5.5. Pedágio</v>
      </c>
      <c r="B157" s="164">
        <f>F123</f>
        <v>1320</v>
      </c>
      <c r="C157" s="162">
        <f t="shared" si="4"/>
        <v>1.4074211951469741E-2</v>
      </c>
    </row>
    <row r="158" spans="1:3" ht="15.75" customHeight="1" x14ac:dyDescent="0.25">
      <c r="A158" s="163" t="str">
        <f>A127</f>
        <v>6. Monitoramento da Frota</v>
      </c>
      <c r="B158" s="164">
        <f>F136</f>
        <v>206.66666666666666</v>
      </c>
      <c r="C158" s="162">
        <f t="shared" si="4"/>
        <v>2.2035382348260706E-3</v>
      </c>
    </row>
    <row r="159" spans="1:3" ht="15.75" customHeight="1" x14ac:dyDescent="0.25">
      <c r="A159" s="160" t="str">
        <f>BDI!A2</f>
        <v>7. Composição do BDI - Benefícios e Despesas Indiretas</v>
      </c>
      <c r="B159" s="161">
        <f>F141</f>
        <v>19133.970083329015</v>
      </c>
      <c r="C159" s="162">
        <f t="shared" si="4"/>
        <v>0.20401178062564673</v>
      </c>
    </row>
    <row r="160" spans="1:3" ht="15.75" customHeight="1" x14ac:dyDescent="0.25">
      <c r="A160" s="166" t="s">
        <v>210</v>
      </c>
      <c r="B160" s="167">
        <f>SUM(B145+B150+B159)</f>
        <v>93788.554879774645</v>
      </c>
      <c r="C160" s="168">
        <f t="shared" si="4"/>
        <v>1</v>
      </c>
    </row>
    <row r="161" spans="1:3" ht="15.75" customHeight="1" x14ac:dyDescent="0.25">
      <c r="A161" s="148" t="s">
        <v>211</v>
      </c>
      <c r="B161" s="169">
        <f>B160/B89</f>
        <v>10.19440813910594</v>
      </c>
      <c r="C161" s="148"/>
    </row>
    <row r="162" spans="1:3" ht="15.75" customHeight="1" x14ac:dyDescent="0.25">
      <c r="A162" s="170" t="s">
        <v>212</v>
      </c>
      <c r="B162" s="171">
        <f>B160/C22</f>
        <v>4689.4277439887319</v>
      </c>
      <c r="C162" s="170"/>
    </row>
    <row r="163" spans="1:3" ht="15.75" customHeight="1" x14ac:dyDescent="0.25"/>
    <row r="164" spans="1:3" ht="15.75" customHeight="1" x14ac:dyDescent="0.25"/>
    <row r="165" spans="1:3" ht="15.75" customHeight="1" x14ac:dyDescent="0.25"/>
    <row r="166" spans="1:3" ht="15.75" customHeight="1" x14ac:dyDescent="0.25"/>
    <row r="167" spans="1:3" ht="15.75" customHeight="1" x14ac:dyDescent="0.25"/>
    <row r="168" spans="1:3" ht="15.75" customHeight="1" x14ac:dyDescent="0.25"/>
    <row r="169" spans="1:3" ht="15.75" customHeight="1" x14ac:dyDescent="0.25"/>
    <row r="170" spans="1:3" ht="15.75" customHeight="1" x14ac:dyDescent="0.25"/>
    <row r="171" spans="1:3" ht="15.75" customHeight="1" x14ac:dyDescent="0.25"/>
    <row r="172" spans="1:3" ht="15.75" customHeight="1" x14ac:dyDescent="0.25"/>
    <row r="173" spans="1:3" ht="15.75" customHeight="1" x14ac:dyDescent="0.25"/>
    <row r="174" spans="1:3" ht="15.75" customHeight="1" x14ac:dyDescent="0.25"/>
    <row r="175" spans="1:3" ht="15.75" customHeight="1" x14ac:dyDescent="0.25"/>
    <row r="176" spans="1: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</sheetData>
  <mergeCells count="6">
    <mergeCell ref="A143:C143"/>
    <mergeCell ref="A3:F3"/>
    <mergeCell ref="A38:F38"/>
    <mergeCell ref="A48:F48"/>
    <mergeCell ref="A75:F75"/>
    <mergeCell ref="B136:E136"/>
  </mergeCells>
  <hyperlinks>
    <hyperlink ref="A49" location="Google_Sheet_Link_393214898" display="4.1.1. Depreciação"/>
    <hyperlink ref="A60" location="Google_Sheet_Link_1378518902" display="4.1.2. Remuneração do Capital"/>
    <hyperlink ref="A151" location="Google_Sheet_Link_393214898" display="4.1.1. Depreciação"/>
    <hyperlink ref="A152" location="Google_Sheet_Link_1378518902" display="4.1.2. Remuneração do Capital"/>
  </hyperlinks>
  <pageMargins left="0.511811024" right="0.511811024" top="0.78740157499999996" bottom="0.78740157499999996" header="0" footer="0"/>
  <pageSetup paperSize="9" scale="80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49.28515625" customWidth="1"/>
    <col min="2" max="2" width="8.42578125" customWidth="1"/>
    <col min="3" max="3" width="10.28515625" customWidth="1"/>
    <col min="4" max="4" width="13.5703125" customWidth="1"/>
    <col min="5" max="5" width="11.140625" customWidth="1"/>
    <col min="6" max="6" width="22.5703125" customWidth="1"/>
    <col min="7" max="26" width="8.7109375" customWidth="1"/>
  </cols>
  <sheetData>
    <row r="2" spans="1:6" ht="18" x14ac:dyDescent="0.25">
      <c r="A2" s="224" t="s">
        <v>213</v>
      </c>
      <c r="B2" s="217"/>
      <c r="C2" s="217"/>
      <c r="D2" s="217"/>
      <c r="E2" s="217"/>
      <c r="F2" s="218"/>
    </row>
    <row r="3" spans="1:6" x14ac:dyDescent="0.25">
      <c r="A3" s="172" t="s">
        <v>214</v>
      </c>
      <c r="B3" s="173" t="s">
        <v>215</v>
      </c>
      <c r="C3" s="174">
        <v>0.03</v>
      </c>
      <c r="D3" s="175"/>
      <c r="E3" s="176"/>
      <c r="F3" s="177"/>
    </row>
    <row r="4" spans="1:6" x14ac:dyDescent="0.25">
      <c r="A4" s="178" t="s">
        <v>216</v>
      </c>
      <c r="B4" s="179" t="s">
        <v>217</v>
      </c>
      <c r="C4" s="180">
        <v>2.9100000000000001E-2</v>
      </c>
      <c r="D4" s="175"/>
      <c r="E4" s="176"/>
      <c r="F4" s="177"/>
    </row>
    <row r="5" spans="1:6" x14ac:dyDescent="0.25">
      <c r="A5" s="178" t="s">
        <v>218</v>
      </c>
      <c r="B5" s="179" t="s">
        <v>219</v>
      </c>
      <c r="C5" s="181">
        <v>0.1</v>
      </c>
      <c r="D5" s="175"/>
      <c r="E5" s="176"/>
      <c r="F5" s="177"/>
    </row>
    <row r="6" spans="1:6" x14ac:dyDescent="0.25">
      <c r="A6" s="178" t="s">
        <v>220</v>
      </c>
      <c r="B6" s="179" t="s">
        <v>221</v>
      </c>
      <c r="C6" s="182">
        <f>(1+E6)^(E7/252)-1</f>
        <v>6.6775265150060825E-3</v>
      </c>
      <c r="D6" s="175" t="s">
        <v>222</v>
      </c>
      <c r="E6" s="183">
        <v>0.15</v>
      </c>
      <c r="F6" s="184"/>
    </row>
    <row r="7" spans="1:6" x14ac:dyDescent="0.25">
      <c r="A7" s="178" t="s">
        <v>223</v>
      </c>
      <c r="B7" s="225" t="s">
        <v>224</v>
      </c>
      <c r="C7" s="180">
        <v>0.03</v>
      </c>
      <c r="D7" s="185" t="s">
        <v>225</v>
      </c>
      <c r="E7" s="186">
        <v>12</v>
      </c>
      <c r="F7" s="15"/>
    </row>
    <row r="8" spans="1:6" x14ac:dyDescent="0.25">
      <c r="A8" s="187" t="s">
        <v>226</v>
      </c>
      <c r="B8" s="226"/>
      <c r="C8" s="188">
        <v>3.6499999999999998E-2</v>
      </c>
      <c r="D8" s="7"/>
      <c r="E8" s="189"/>
      <c r="F8" s="15"/>
    </row>
    <row r="9" spans="1:6" x14ac:dyDescent="0.25">
      <c r="A9" s="190" t="s">
        <v>227</v>
      </c>
      <c r="B9" s="191"/>
      <c r="C9" s="192"/>
      <c r="D9" s="7"/>
      <c r="E9" s="189"/>
      <c r="F9" s="15"/>
    </row>
    <row r="10" spans="1:6" x14ac:dyDescent="0.25">
      <c r="A10" s="193" t="s">
        <v>228</v>
      </c>
      <c r="B10" s="194"/>
      <c r="C10" s="195"/>
      <c r="D10" s="7"/>
      <c r="E10" s="189"/>
      <c r="F10" s="15"/>
    </row>
    <row r="11" spans="1:6" x14ac:dyDescent="0.25">
      <c r="A11" s="196" t="s">
        <v>229</v>
      </c>
      <c r="B11" s="197"/>
      <c r="C11" s="198">
        <f>ROUND((((1+C3+C4)*(1+C5)*(1+C6))/(1-(C7+C8))-1),4)</f>
        <v>0.25629999999999997</v>
      </c>
      <c r="D11" s="199"/>
      <c r="E11" s="200"/>
      <c r="F11" s="201"/>
    </row>
    <row r="15" spans="1:6" x14ac:dyDescent="0.25">
      <c r="A15" s="202" t="s">
        <v>230</v>
      </c>
      <c r="B15" s="144" t="s">
        <v>123</v>
      </c>
      <c r="C15" s="203"/>
      <c r="D15" s="203"/>
      <c r="E15" s="203"/>
      <c r="F15" s="204">
        <f>'Mão de obra'!F139</f>
        <v>74654.584796445648</v>
      </c>
    </row>
    <row r="17" spans="1:6" x14ac:dyDescent="0.25">
      <c r="A17" s="205" t="s">
        <v>231</v>
      </c>
    </row>
    <row r="18" spans="1:6" x14ac:dyDescent="0.25">
      <c r="A18" s="46" t="s">
        <v>87</v>
      </c>
      <c r="B18" s="47" t="s">
        <v>88</v>
      </c>
      <c r="C18" s="47" t="s">
        <v>89</v>
      </c>
      <c r="D18" s="48" t="s">
        <v>90</v>
      </c>
      <c r="E18" s="48" t="s">
        <v>91</v>
      </c>
      <c r="F18" s="49" t="s">
        <v>232</v>
      </c>
    </row>
    <row r="19" spans="1:6" x14ac:dyDescent="0.25">
      <c r="A19" s="50" t="s">
        <v>233</v>
      </c>
      <c r="B19" s="51" t="s">
        <v>103</v>
      </c>
      <c r="C19" s="106">
        <f>C11*100</f>
        <v>25.629999999999995</v>
      </c>
      <c r="D19" s="53">
        <f>F15</f>
        <v>74654.584796445648</v>
      </c>
      <c r="E19" s="53">
        <f>C19*D19/100</f>
        <v>19133.970083329015</v>
      </c>
      <c r="F19" s="44"/>
    </row>
    <row r="20" spans="1:6" x14ac:dyDescent="0.25">
      <c r="A20" s="43"/>
      <c r="B20" s="43"/>
      <c r="C20" s="43"/>
      <c r="D20" s="44"/>
      <c r="E20" s="44"/>
      <c r="F20" s="114">
        <f>+E19</f>
        <v>19133.970083329015</v>
      </c>
    </row>
    <row r="21" spans="1:6" ht="15.75" customHeight="1" x14ac:dyDescent="0.25">
      <c r="A21" s="43"/>
      <c r="B21" s="43"/>
      <c r="C21" s="43"/>
      <c r="D21" s="44"/>
      <c r="E21" s="44"/>
      <c r="F21" s="44"/>
    </row>
    <row r="22" spans="1:6" ht="15.75" customHeight="1" x14ac:dyDescent="0.25">
      <c r="A22" s="206" t="s">
        <v>207</v>
      </c>
      <c r="B22" s="207"/>
      <c r="C22" s="207"/>
      <c r="D22" s="208"/>
      <c r="E22" s="209"/>
      <c r="F22" s="82">
        <f>F20</f>
        <v>19133.970083329015</v>
      </c>
    </row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2:F2"/>
    <mergeCell ref="B7:B8"/>
  </mergeCells>
  <pageMargins left="0.511811024" right="0.511811024" top="0.78740157499999996" bottom="0.78740157499999996" header="0" footer="0"/>
  <pageSetup paperSize="9" scale="80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CAGED</vt:lpstr>
      <vt:lpstr>Encargos</vt:lpstr>
      <vt:lpstr>Mão de obra</vt:lpstr>
      <vt:lpstr>BDI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</dc:creator>
  <cp:lastModifiedBy>pmsap´</cp:lastModifiedBy>
  <dcterms:created xsi:type="dcterms:W3CDTF">2020-01-13T18:06:35Z</dcterms:created>
  <dcterms:modified xsi:type="dcterms:W3CDTF">2025-11-21T18:08:58Z</dcterms:modified>
</cp:coreProperties>
</file>