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Coleta convencional" sheetId="1" r:id="rId4"/>
    <sheet state="visible" name="2.Encargos Sociais" sheetId="2" r:id="rId5"/>
    <sheet state="visible" name="3.CAGED" sheetId="3" r:id="rId6"/>
    <sheet state="visible" name="4.BDI" sheetId="4" r:id="rId7"/>
    <sheet state="visible" name="5. Depreciação" sheetId="5" r:id="rId8"/>
    <sheet state="visible" name="6.Remuneração de capital" sheetId="6" r:id="rId9"/>
    <sheet state="visible" name="7. Dimensionamento" sheetId="7" r:id="rId10"/>
  </sheets>
  <definedNames>
    <definedName name="AbaDeprec">'5. Depreciação'!$A$1</definedName>
    <definedName name="AbaRemun">'6.Remuneração de capital'!$A$1</definedName>
    <definedName hidden="1" name="Google_Sheet_Link_1183645163">AbaDeprec</definedName>
    <definedName hidden="1" name="Google_Sheet_Link_1314515019">AbaDeprec</definedName>
    <definedName hidden="1" name="Google_Sheet_Link_912072401">AbaRemun</definedName>
    <definedName hidden="1" name="Google_Sheet_Link_922699440">AbaRemun</definedName>
  </definedNames>
  <calcPr/>
  <extLst>
    <ext uri="GoogleSheetsCustomDataVersion2">
      <go:sheetsCustomData xmlns:go="http://customooxmlschemas.google.com/" r:id="rId11" roundtripDataChecksum="b2Nas690G95ccWGvkWgICniTCXC9vUPfr4sHWWHZAX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99">
      <text>
        <t xml:space="preserve">======
ID#AAAA6ExiLtE
Clauber Bridi    (2022-08-23 13:58:08)
Valor Unitário considerando o desconto legal de até 6% do salário</t>
      </text>
    </comment>
    <comment authorId="0" ref="C220">
      <text>
        <t xml:space="preserve">======
ID#AAAA6ExiLtA
Clauber Bridi    (2022-08-23 13:58:08)
Informar o consumo de óleo da transmissão a cada 1000km</t>
      </text>
    </comment>
    <comment authorId="0" ref="D82">
      <text>
        <t xml:space="preserve">======
ID#AAAA6ExiLrw
Clauber Bridi    (2022-08-23 13:58:08)
Informar o Piso da categoria fixado na Convenção Coletiva</t>
      </text>
    </comment>
    <comment authorId="0" ref="C152">
      <text>
        <t xml:space="preserve">======
ID#AAAA6ExiLsU
Clauber Bridi    (2022-08-23 13:58:08)
Informar a durabilidade estimada em meses, para cada EPI</t>
      </text>
    </comment>
    <comment authorId="0" ref="C170">
      <text>
        <t xml:space="preserve">======
ID#AAAA6ExiLt4
Clauber Bridi    (2022-08-23 13:58:08)
Informar a vida útil estimada para o caminhão, em anos</t>
      </text>
    </comment>
    <comment authorId="0" ref="C296">
      <text>
        <t xml:space="preserve">======
ID#AAAA6ExiLsQ
Clauber Bridi    (2022-08-23 13:58:08)
Informar o consumo de óleo hidráulico a cada 1000km</t>
      </text>
    </comment>
    <comment authorId="0" ref="C258">
      <text>
        <t xml:space="preserve">======
ID#AAAA6ExiLro
Clauber Bridi    (2022-08-23 13:58:08)
Informar a quantidade de caminhões compactadores do respectivo modelo</t>
      </text>
    </comment>
    <comment authorId="0" ref="D123">
      <text>
        <t xml:space="preserve">======
ID#AAAA6ExiLsM
Clauber Bridi    (2022-08-23 13:58:08)
Informar o valor mensal do auxilio alimentação, considerando o desconto aplicável ao funcionário, conforme Convenção Coletiva da categoria</t>
      </text>
    </comment>
    <comment authorId="0" ref="C325">
      <text>
        <t xml:space="preserve">======
ID#AAAA6ExiLrk
Clauber Bridi    (2022-08-23 13:58:08)
Informar a quantidade estimada por mês. Por exemplo, se a durabilidade estimada é de 6 meses, informar 1/6; se a durabilidade estimada é de 3 meses informar 1/3, etc..</t>
      </text>
    </comment>
    <comment authorId="0" ref="D224">
      <text>
        <t xml:space="preserve">======
ID#AAAA6ExiLsI
Clauber Bridi    (2022-08-23 13:58:08)
Informar o preço unitário do litro da graxa</t>
      </text>
    </comment>
    <comment authorId="0" ref="C292">
      <text>
        <t xml:space="preserve">======
ID#AAAA6ExiLrg
Clauber Bridi    (2022-08-23 13:58:08)
Informar o consumo de óleo do motor a cada 1000km</t>
      </text>
    </comment>
    <comment authorId="0" ref="D144">
      <text>
        <t xml:space="preserve">======
ID#AAAA6ExiLtg
Clauber Bridi    (2022-08-23 13:58:08)
Informar o valor mensal de higienização de uniforme para 1 funcionário</t>
      </text>
    </comment>
    <comment authorId="0" ref="C141">
      <text>
        <t xml:space="preserve">======
ID#AAAA6ExiLuE
Clauber Bridi    (2022-08-23 13:58:08)
Informar a durabilidade estimada em meses, para cada EPI</t>
      </text>
    </comment>
    <comment authorId="0" ref="D141">
      <text>
        <t xml:space="preserve">======
ID#AAAA6ExiLtc
Clauber Bridi    (2022-08-23 13:58:08)
Informar o valor unitário estimado para aquisição de cada EPI</t>
      </text>
    </comment>
    <comment authorId="0" ref="C154">
      <text>
        <t xml:space="preserve">======
ID#AAAA6ExiLsw
Clauber Bridi    (2022-08-23 13:58:08)
Informar a durabilidade estimada em meses, para cada EPI</t>
      </text>
    </comment>
    <comment authorId="0" ref="D336">
      <text>
        <t xml:space="preserve">======
ID#AAAA6ExiLtY
Clauber Bridi    (2022-08-23 13:58:08)
Informar o valor unitário mensal para manutenção dos equipamentos de monitoramento</t>
      </text>
    </comment>
    <comment authorId="0" ref="C92">
      <text>
        <t xml:space="preserve">======
ID#AAAA6ExiLu8
Clauber Bridi    (2022-08-23 13:58:08)
Informar a quantidade de trabalhadores na função</t>
      </text>
    </comment>
    <comment authorId="0" ref="C143">
      <text>
        <t xml:space="preserve">======
ID#AAAA6ExiLss
Clauber Bridi    (2022-08-23 13:58:08)
Informar a durabilidade estimada em meses, para cada EPI</t>
      </text>
    </comment>
    <comment authorId="0" ref="C137">
      <text>
        <t xml:space="preserve">======
ID#AAAA6ExiLtU
Clauber Bridi    (2022-08-23 13:58:08)
Informar a durabilidade estimada em meses, para cada EPI</t>
      </text>
    </comment>
    <comment authorId="0" ref="C84">
      <text>
        <t xml:space="preserve">======
ID#AAAA6ExiLu4
Clauber Bridi    (2022-08-23 13:58:08)
Informar o número de horas extras trabalhadas em horário diurno nos domingos e feriados</t>
      </text>
    </comment>
    <comment authorId="0" ref="D310">
      <text>
        <t xml:space="preserve">======
ID#AAAA6ExiLso
Clauber Bridi    (2022-08-23 13:58:08)
Informar o preço unitário de cada pneu</t>
      </text>
    </comment>
    <comment authorId="0" ref="C171">
      <text>
        <t xml:space="preserve">======
ID#AAAA6ExiLsk
Clauber Bridi    (2022-08-23 13:58:08)
Na elaboração do orçamento-base da licitação, informar 0 (zero). Na proposta da licitante, informar a idade do veículo proposto.</t>
      </text>
    </comment>
    <comment authorId="0" ref="C310">
      <text>
        <t xml:space="preserve">======
ID#AAAA6ExiLtM
Clauber Bridi    (2022-08-23 13:58:08)
Informar a quantidade de pneus novos de 1 caminhão</t>
      </text>
    </comment>
    <comment authorId="0" ref="D140">
      <text>
        <t xml:space="preserve">======
ID#AAAA6ExiLsg
Clauber Bridi    (2022-08-23 13:58:08)
Informar o valor unitário estimado para aquisição de cada EPI</t>
      </text>
    </comment>
    <comment authorId="0" ref="C142">
      <text>
        <t xml:space="preserve">======
ID#AAAA6ExiLtI
Clauber Bridi    (2022-08-23 13:58:08)
Informar a durabilidade estimada em meses, para cada EPI</t>
      </text>
    </comment>
    <comment authorId="0" ref="D135">
      <text>
        <t xml:space="preserve">======
ID#AAAA6ExiLqc
Clauber Bridi    (2022-08-23 13:58:08)
Informar o valor unitário estimado para aquisição de cada EPI</t>
      </text>
    </comment>
    <comment authorId="0" ref="D67">
      <text>
        <t xml:space="preserve">======
ID#AAAA6ExiLrA
Clauber Bridi    (2022-08-23 13:58:08)
Informar o Piso da categoria fixado na Convenção Coletiva</t>
      </text>
    </comment>
    <comment authorId="0" ref="D97">
      <text>
        <t xml:space="preserve">======
ID#AAAA6ExiLqY
Clauber Bridi    (2022-08-23 13:58:08)
Informar o valor unitário do VT no município</t>
      </text>
    </comment>
    <comment authorId="0" ref="C87">
      <text>
        <t xml:space="preserve">======
ID#AAAA6ExiLr8
Clauber Bridi    (2022-08-23 13:58:08)
Informar 1 se a base de cálculo for o Salário Mínimo Nacional; Informar 2 se a base de cálculo for o Piso da Categoria;</t>
      </text>
    </comment>
    <comment authorId="0" ref="C176">
      <text>
        <t xml:space="preserve">======
ID#AAAA6ExiLqU
Clauber Bridi    (2022-08-23 13:58:08)
Na elaboração do orçamento-base da licitação, informar 0 (zero). Na proposta da licitante, informar a idade do compactador proposto.</t>
      </text>
    </comment>
    <comment authorId="0" ref="D110">
      <text>
        <t xml:space="preserve">======
ID#AAAA6ExiLr0
Clauber Bridi    (2022-08-23 13:58:08)
Informar o valor unitário diário do vale refeição, considerando o desconto aplicável ao funcionário, conforme Convenção Coletiva da categoria.</t>
      </text>
    </comment>
    <comment authorId="0" ref="C249">
      <text>
        <t xml:space="preserve">======
ID#AAAA6ExiLpo
Clauber Bridi    (2022-08-23 13:58:08)
Na elaboração do orçamento-base da licitação, informar 0 (zero). Na proposta da licitante, informar a idade do veículo proposto.</t>
      </text>
    </comment>
    <comment authorId="0" ref="C239">
      <text>
        <t xml:space="preserve">======
ID#AAAA6ExiLqI
Clauber Bridi    (2022-08-23 13:58:08)
Informar a durabilidade média dos pneus considerando todas as recapagens, em km</t>
      </text>
    </comment>
    <comment authorId="0" ref="C218">
      <text>
        <t xml:space="preserve">======
ID#AAAA6ExiLqE
Clauber Bridi    (2022-08-23 13:58:08)
Informar o consumo de óleo do motor a cada 1000km</t>
      </text>
    </comment>
    <comment authorId="0" ref="C172">
      <text>
        <t xml:space="preserve">======
ID#AAAA6ExiLsE
Clauber Bridi    (2022-08-23 13:58:08)
Informar o valor da depreciação do caminhão, adotando o valor sugerido pelo TCE ou outro valor estimado</t>
      </text>
    </comment>
    <comment authorId="0" ref="C248">
      <text>
        <t xml:space="preserve">======
ID#AAAA6ExiLsA
Clauber Bridi    (2022-08-23 13:58:08)
Informar a vida útil estimada para o caminhão, em anos</t>
      </text>
    </comment>
    <comment authorId="0" ref="C236">
      <text>
        <t xml:space="preserve">======
ID#AAAA6ExiLs8
Clauber Bridi    (2022-08-23 13:58:08)
Informar a quantidade de pneus novos de 1 caminhão</t>
      </text>
    </comment>
    <comment authorId="0" ref="D236">
      <text>
        <t xml:space="preserve">======
ID#AAAA6ExiLqs
Clauber Bridi    (2022-08-23 13:58:08)
Informar o preço unitário de cada pneu</t>
      </text>
    </comment>
    <comment authorId="0" ref="D142">
      <text>
        <t xml:space="preserve">======
ID#AAAA6ExiLrU
Clauber Bridi    (2022-08-23 13:58:08)
Informar o valor unitário estimado para aquisição de cada EPI</t>
      </text>
    </comment>
    <comment authorId="0" ref="C139">
      <text>
        <t xml:space="preserve">======
ID#AAAA6ExiLqo
Clauber Bridi    (2022-08-23 13:58:08)
Informar a durabilidade estimada em meses, para cada EPI</t>
      </text>
    </comment>
    <comment authorId="0" ref="D136">
      <text>
        <t xml:space="preserve">======
ID#AAAA6ExiLrQ
Clauber Bridi    (2022-08-23 13:58:08)
Informar o valor unitário estimado para aquisição de cada EPI</t>
      </text>
    </comment>
    <comment authorId="0" ref="C55">
      <text>
        <t xml:space="preserve">======
ID#AAAA6ExiLs0
Clauber Bridi    (2022-08-23 13:58:08)
Informar o número de horas extras trabalhadas nos domingos e feriados em horário diurno</t>
      </text>
    </comment>
    <comment authorId="0" ref="C237">
      <text>
        <t xml:space="preserve">======
ID#AAAA6ExiLrM
Clauber Bridi    (2022-08-23 13:58:08)
Informar o número de recapagens por pneu</t>
      </text>
    </comment>
    <comment authorId="0" ref="C313">
      <text>
        <t xml:space="preserve">======
ID#AAAA6ExiLqg
Clauber Bridi    (2022-08-23 13:58:08)
Informar a durabilidade média dos pneus considerando todas as recapagens, em km</t>
      </text>
    </comment>
    <comment authorId="0" ref="C155">
      <text>
        <t xml:space="preserve">======
ID#AAAA6ExiLpA
Clauber Bridi    (2022-08-23 13:58:08)
Informar a durabilidade estimada em meses, para cada EPI</t>
      </text>
    </comment>
    <comment authorId="0" ref="C264">
      <text>
        <t xml:space="preserve">======
ID#AAAA6ExiLwc
Clauber Bridi    (2022-08-23 13:58:08)
Informar a taxa de juros anual para remuneração do capital. Recomenda-se o uso da Taxa SELIC</t>
      </text>
    </comment>
    <comment authorId="0" ref="C75">
      <text>
        <t xml:space="preserve">======
ID#AAAA6ExiLoY
Clauber Bridi    (2022-08-23 13:58:08)
Preencher a planilha Encargos Sociais e CAGED</t>
      </text>
    </comment>
    <comment authorId="0" ref="C222">
      <text>
        <t xml:space="preserve">======
ID#AAAA6ExiLp8
Clauber Bridi    (2022-08-23 13:58:08)
Informar o consumo de óleo hidráulico a cada 1000km</t>
      </text>
    </comment>
    <comment authorId="0" ref="C77">
      <text>
        <t xml:space="preserve">======
ID#AAAA6ExiLnw
Clauber Bridi    (2022-08-23 13:58:08)
Informar a quantidade de trabalhadores na função</t>
      </text>
    </comment>
    <comment authorId="0" ref="A57">
      <text>
        <t xml:space="preserve">======
ID#AAAA6ExiLoU
Clauber Bridi    (2022-08-23 13:58:08)
Cálculo do descanso semanal remunerado incidente sobre as horas extras habitualmente prestadas. Considerada a média de 63 feriados + domingos e 302 dias trabalhados por ano</t>
      </text>
    </comment>
    <comment authorId="0" ref="D294">
      <text>
        <t xml:space="preserve">======
ID#AAAA6ExiLp4
Clauber Bridi    (2022-08-23 13:58:08)
Informar o preço unitário do litro do óleo da transmissão</t>
      </text>
    </comment>
    <comment authorId="0" ref="C255">
      <text>
        <t xml:space="preserve">======
ID#AAAA6ExiLns
Clauber Bridi    (2022-08-23 13:58:08)
Informar o valor da depreciação do compactador, adotando o valor sugerido pelo TCE ou outro valor estimado</t>
      </text>
    </comment>
    <comment authorId="0" ref="D157">
      <text>
        <t xml:space="preserve">======
ID#AAAA6ExiLwY
Clauber Bridi    (2022-08-23 13:58:08)
Informar o valor mensal de higienização de uniforme para 1 funcionário</t>
      </text>
    </comment>
    <comment authorId="0" ref="C254">
      <text>
        <t xml:space="preserve">======
ID#AAAA6ExiLoQ
Clauber Bridi    (2022-08-23 13:58:08)
Na elaboração do orçamento-base da licitação, informar 0 (zero). Na proposta da licitante, informar a idade do compactador proposto.</t>
      </text>
    </comment>
    <comment authorId="0" ref="C253">
      <text>
        <t xml:space="preserve">======
ID#AAAA6ExiLvw
Clauber Bridi    (2022-08-23 13:58:08)
Informar a vida útil estimada para o compactador, em anos</t>
      </text>
    </comment>
    <comment authorId="0" ref="C250">
      <text>
        <t xml:space="preserve">======
ID#AAAA6ExiLno
Clauber Bridi    (2022-08-23 13:58:08)
Informar o valor da depreciação do caminhão, adotando o valor sugerido pelo TCE ou outro valor estimado</t>
      </text>
    </comment>
    <comment authorId="0" ref="D109">
      <text>
        <t xml:space="preserve">======
ID#AAAA6ExiLwU
Clauber Bridi    (2022-08-23 13:58:08)
Informar o valor unitário diário do vale refeição, considerando o desconto aplicável ao funcionário, conforme Convenção Coletiva da categoria.</t>
      </text>
    </comment>
    <comment authorId="0" ref="D134">
      <text>
        <t xml:space="preserve">======
ID#AAAA6ExiLoM
Clauber Bridi    (2022-08-23 13:58:08)
Informar o valor unitário estimado para aquisição de cada EPI</t>
      </text>
    </comment>
    <comment authorId="0" ref="D280">
      <text>
        <t xml:space="preserve">======
ID#AAAA6ExiLwQ
Clauber Bridi    (2022-08-23 13:58:08)
Informar o valor do seguro obrigatório e licenciamento anual de um caminhão</t>
      </text>
    </comment>
    <comment authorId="0" ref="C134">
      <text>
        <t xml:space="preserve">======
ID#AAAA6ExiLoI
Clauber Bridi    (2022-08-23 13:58:08)
Informar a durabilidade estimada em meses, para cada EPI</t>
      </text>
    </comment>
    <comment authorId="0" ref="D281">
      <text>
        <t xml:space="preserve">======
ID#AAAA6ExiLvo
Clauber Bridi    (2022-08-23 13:58:08)
Informar o valor do seguro contra terceiros de um caminhão, se houver previsão no Projeto Básico</t>
      </text>
    </comment>
    <comment authorId="0" ref="C323">
      <text>
        <t xml:space="preserve">======
ID#AAAA6ExiLng
Clauber Bridi    (2022-08-23 13:58:08)
Informar a quantidade estimada por mês. Por exemplo, se a durabilidade estimada é de 6 meses, informar 1/6; se a durabilidade estimada é de 3 meses informar 1/3, etc..</t>
      </text>
    </comment>
    <comment authorId="0" ref="C175">
      <text>
        <t xml:space="preserve">======
ID#AAAA6ExiLwM
Clauber Bridi    (2022-08-23 13:58:08)
Informar a vida útil estimada para o compactador, em anos</t>
      </text>
    </comment>
    <comment authorId="0" ref="D103">
      <text>
        <t xml:space="preserve">======
ID#AAAA6ExiLoE
Clauber Bridi    (2022-08-23 13:58:08)
Valor Unitário considerando o desconto legal de até 6% do salário</t>
      </text>
    </comment>
    <comment authorId="0" ref="C102">
      <text>
        <t xml:space="preserve">======
ID#AAAA6ExiLvk
Clauber Bridi    (2022-08-23 13:58:08)
Informar o número médio de dias trabalhados por mês</t>
      </text>
    </comment>
    <comment authorId="0" ref="B48">
      <text>
        <t xml:space="preserve">======
ID#AAAA6ExiLnc
Clauber Bridi    (2022-08-23 13:58:08)
Informar o fator de utilização das equipes de coleta. 
Por exemplo:
Equipes com utilização integral = 100%
Equipes com utilização parcial = n° horas trabalhadas por semana /44 horas</t>
      </text>
    </comment>
    <comment authorId="0" ref="C187">
      <text>
        <t xml:space="preserve">======
ID#AAAA6ExiLpc
Clauber Bridi    (2022-08-23 13:58:08)
Informar a taxa de juros anual para remuneração do capital. Recomenda-se o uso da Taxa SELIC</t>
      </text>
    </comment>
    <comment authorId="0" ref="C56">
      <text>
        <t xml:space="preserve">======
ID#AAAA6ExiLqA
Clauber Bridi    (2022-08-23 13:58:08)
Informar o número de horas extras trabalhadas em horário diurno de segunda a sábado</t>
      </text>
    </comment>
    <comment authorId="0" ref="D137">
      <text>
        <t xml:space="preserve">======
ID#AAAA6ExiLpY
Clauber Bridi    (2022-08-23 13:58:08)
Informar o valor unitário estimado para aquisição de cada EPI</t>
      </text>
    </comment>
    <comment authorId="0" ref="D205">
      <text>
        <t xml:space="preserve">======
ID#AAAA6ExiLos
Clauber Bridi    (2022-08-23 13:58:08)
Informar o valor do seguro contra terceiros de um caminhão, se houver previsão no Projeto Básico</t>
      </text>
    </comment>
    <comment authorId="0" ref="C85">
      <text>
        <t xml:space="preserve">======
ID#AAAA6ExiLpU
Clauber Bridi    (2022-08-23 13:58:08)
Informar o número de horas extras trabalhadas em horário diurno de segunda a sábado</t>
      </text>
    </comment>
    <comment authorId="0" ref="C72">
      <text>
        <t xml:space="preserve">======
ID#AAAA6ExiLq4
Clauber Bridi    (2022-08-23 13:58:08)
Informar 1 se a base de cálculo for o Salário Mínimo Nacional; Informar 2 se a base de cálculo for o Piso da Categoria;</t>
      </text>
    </comment>
    <comment authorId="0" ref="C100">
      <text>
        <t xml:space="preserve">======
ID#AAAA6ExiLww
Clauber Bridi    (2022-08-23 13:58:08)
Informar o número médio de dias trabalhados por mês</t>
      </text>
    </comment>
    <comment authorId="0" ref="A331">
      <text>
        <t xml:space="preserve">======
ID#AAAA6ExiLpQ
Clauber Bridi    (2022-08-23 13:58:08)
Especificar somente quando for exigido no Projeto Básico</t>
      </text>
    </comment>
    <comment authorId="0" ref="D298">
      <text>
        <t xml:space="preserve">======
ID#AAAA6ExiLq0
Clauber Bridi    (2022-08-23 13:58:08)
Informar o preço unitário do litro da graxa</t>
      </text>
    </comment>
    <comment authorId="0" ref="C98">
      <text>
        <t xml:space="preserve">======
ID#AAAA6ExiLws
Clauber Bridi    (2022-08-23 13:58:08)
Informar o número médio de dias trabalhados por mês</t>
      </text>
    </comment>
    <comment authorId="0" ref="D252">
      <text>
        <t xml:space="preserve">======
ID#AAAA6ExiLok
Clauber Bridi    (2022-08-23 13:58:08)
Informar o preço unitário do equipamento compactador</t>
      </text>
    </comment>
    <comment authorId="0" ref="D143">
      <text>
        <t xml:space="preserve">======
ID#AAAA6ExiLpM
Clauber Bridi    (2022-08-23 13:58:08)
Informar o valor unitário estimado para aquisição de cada EPI</t>
      </text>
    </comment>
    <comment authorId="0" ref="D115">
      <text>
        <t xml:space="preserve">======
ID#AAAA6ExiLwo
Clauber Bridi    (2022-08-23 13:58:08)
Informar o valor mensal do auxilio alimentação, considerando o desconto aplicável ao funcionário, conforme Convenção Coletiva da categoria</t>
      </text>
    </comment>
    <comment authorId="0" ref="C326">
      <text>
        <t xml:space="preserve">======
ID#AAAA6ExiLog
Clauber Bridi    (2022-08-23 13:58:08)
Informar a quantidade estimada por mês. Por exemplo, se a durabilidade estimada é de 6 meses, informar 1/6; se a durabilidade estimada é de 3 meses informar 1/3, etc..</t>
      </text>
    </comment>
    <comment authorId="0" ref="C70">
      <text>
        <t xml:space="preserve">======
ID#AAAA6ExiLpI
Clauber Bridi    (2022-08-23 13:58:08)
Informar o número de horas extras trabalhadas em horário diurno de segunda a sábado</t>
      </text>
    </comment>
    <comment authorId="0" ref="A71">
      <text>
        <t xml:space="preserve">======
ID#AAAA6ExiLwk
Clauber Bridi    (2022-08-23 13:58:08)
Cálculo do descanso semanal remunerado incidente sobre as horas extras habitualmente prestadas. Considerada a média de 63 feriados + domingos e 302 dias trabalhados por ano</t>
      </text>
    </comment>
    <comment authorId="0" ref="C73">
      <text>
        <t xml:space="preserve">======
ID#AAAA6ExiLoc
Clauber Bridi    (2022-08-23 13:58:08)
Percentual estabelecido nas Normas de Segurança de Trabalho ou pelo laudo de responsável técnico devidamente habilitado</t>
      </text>
    </comment>
    <comment authorId="0" ref="C135">
      <text>
        <t xml:space="preserve">======
ID#AAAA6ExiLpE
Clauber Bridi    (2022-08-23 13:58:08)
Informar a durabilidade estimada em meses, para cada EPI</t>
      </text>
    </comment>
    <comment authorId="0" ref="C153">
      <text>
        <t xml:space="preserve">======
ID#AAAA6ExiLug
Clauber Bridi    (2022-08-23 13:58:08)
Informar a durabilidade estimada em meses, para cada EPI</t>
      </text>
    </comment>
    <comment authorId="0" ref="C177">
      <text>
        <t xml:space="preserve">======
ID#AAAA6ExiLvI
Clauber Bridi    (2022-08-23 13:58:08)
Informar o valor da depreciação do compactador, adotando o valor sugerido pelo TCE ou outro valor estimado</t>
      </text>
    </comment>
    <comment authorId="0" ref="C136">
      <text>
        <t xml:space="preserve">======
ID#AAAA6ExiLuc
Clauber Bridi    (2022-08-23 13:58:08)
Informar a durabilidade estimada em meses, para cada EPI</t>
      </text>
    </comment>
    <comment authorId="0" ref="D222">
      <text>
        <t xml:space="preserve">======
ID#AAAA6ExiLvE
Clauber Bridi    (2022-08-23 13:58:08)
Informar o preço unitário do litro do óleo hidráulico</t>
      </text>
    </comment>
    <comment authorId="0" ref="C151">
      <text>
        <t xml:space="preserve">======
ID#AAAA6ExiLn8
Clauber Bridi    (2022-08-23 13:58:08)
Informar a durabilidade estimada em meses, para cada EPI</t>
      </text>
    </comment>
    <comment authorId="0" ref="C214">
      <text>
        <t xml:space="preserve">======
ID#AAAA6ExiLvA
Clauber Bridi    (2022-08-23 13:58:08)
Informar o consumo estimado do veículo em km/l</t>
      </text>
    </comment>
    <comment authorId="0" ref="D323">
      <text>
        <t xml:space="preserve">======
ID#AAAA6ExiLn4
Clauber Bridi    (2022-08-23 13:58:08)
Informar o valor unitário estimado para aquisição de cada material</t>
      </text>
    </comment>
    <comment authorId="0" ref="A86">
      <text>
        <t xml:space="preserve">======
ID#AAAA6ExiLuY
Clauber Bridi    (2022-08-23 13:58:08)
Cálculo do descanso semanal remunerado incidente sobre as horas extras habitualmente prestadas. Considerada a média de 63 feriados + domingos e 302 dias trabalhados por ano</t>
      </text>
    </comment>
    <comment authorId="0" ref="C69">
      <text>
        <t xml:space="preserve">======
ID#AAAA6ExiLtw
Clauber Bridi    (2022-08-23 13:58:08)
Informar o número de horas extras trabalhadas em horário diurno nos domingos e feriados</t>
      </text>
    </comment>
    <comment authorId="0" ref="C62">
      <text>
        <t xml:space="preserve">======
ID#AAAA6ExiLuU
Clauber Bridi    (2022-08-23 13:58:08)
Informar a quantidade de trabalhadores na função</t>
      </text>
    </comment>
    <comment authorId="0" ref="D124">
      <text>
        <t xml:space="preserve">======
ID#AAAA6ExiLts
Clauber Bridi    (2022-08-23 13:58:08)
Informar o valor mensal do auxilio alimentação, considerando o desconto aplicável ao funcionário, conforme Convenção Coletiva da categoria</t>
      </text>
    </comment>
    <comment authorId="0" ref="D204">
      <text>
        <t xml:space="preserve">======
ID#AAAA6ExiLv0
Clauber Bridi    (2022-08-23 13:58:08)
Informar o valor do seguro obrigatório e licenciamento anual de um caminhão</t>
      </text>
    </comment>
    <comment authorId="0" ref="D117">
      <text>
        <t xml:space="preserve">======
ID#AAAA6ExiLto
Clauber Bridi    (2022-08-23 13:58:08)
Informar o valor mensal do auxilio alimentação, considerando o desconto aplicável ao funcionário, conforme Convenção Coletiva da categoria</t>
      </text>
    </comment>
    <comment authorId="0" ref="D334">
      <text>
        <t xml:space="preserve">======
ID#AAAA6ExiLtk
Clauber Bridi    (2022-08-23 13:58:08)
Informar o valor total para instalação do equipamento de monitoramento da frota, se houver previsão no Projeto Básico</t>
      </text>
    </comment>
    <comment authorId="0" ref="C294">
      <text>
        <t xml:space="preserve">======
ID#AAAA6ExiLuI
Clauber Bridi    (2022-08-23 13:58:08)
Informar o consumo de óleo da transmissão a cada 1000km</t>
      </text>
    </comment>
    <comment authorId="0" ref="C224">
      <text>
        <t xml:space="preserve">======
ID#AAAA6ExiLoA
Clauber Bridi    (2022-08-23 13:58:08)
Informar o consumo de graxa a cada 1000km</t>
      </text>
    </comment>
    <comment authorId="0" ref="C156">
      <text>
        <t xml:space="preserve">======
ID#AAAA6ExiLwE
Clauber Bridi    (2022-08-23 13:58:08)
Informar a durabilidade estimada em meses, para cada EPI</t>
      </text>
    </comment>
    <comment authorId="0" ref="C311">
      <text>
        <t xml:space="preserve">======
ID#AAAA6ExiLvc
Clauber Bridi    (2022-08-23 13:58:08)
Informar o número de recapagens por pneu</t>
      </text>
    </comment>
    <comment authorId="0" ref="C90">
      <text>
        <t xml:space="preserve">======
ID#AAAA6ExiLwA
Clauber Bridi    (2022-08-23 13:58:08)
Preencher a planilha Encargos Sociais e CAGED</t>
      </text>
    </comment>
    <comment authorId="0" ref="B287">
      <text>
        <t xml:space="preserve">======
ID#AAAA6ExiLnY
Clauber Bridi    (2022-08-23 13:58:08)
Informar a quilometragem mensal percorrida, de acordo com o projeto básico</t>
      </text>
    </comment>
    <comment authorId="0" ref="C298">
      <text>
        <t xml:space="preserve">======
ID#AAAA6ExiLnU
Clauber Bridi    (2022-08-23 13:58:08)
Informar o consumo de graxa a cada 1000km</t>
      </text>
    </comment>
    <comment authorId="0" ref="D296">
      <text>
        <t xml:space="preserve">======
ID#AAAA6ExiLuw
Clauber Bridi    (2022-08-23 13:58:08)
Informar o preço unitário do litro do óleo hidráulico</t>
      </text>
    </comment>
    <comment authorId="0" ref="D220">
      <text>
        <t xml:space="preserve">======
ID#AAAA6ExiLvY
Clauber Bridi    (2022-08-23 13:58:08)
Informar o preço unitário do litro do óleo da transmissão</t>
      </text>
    </comment>
    <comment authorId="0" ref="B211">
      <text>
        <t xml:space="preserve">======
ID#AAAA6ExiLo0
Clauber Bridi    (2022-08-23 13:58:08)
Informar a quilometragem mensal percorrida, de acordo com o projeto básico</t>
      </text>
    </comment>
    <comment authorId="0" ref="D238">
      <text>
        <t xml:space="preserve">======
ID#AAAA6ExiLus
Clauber Bridi    (2022-08-23 13:58:08)
Informar o preço unitário de cada recapagem</t>
      </text>
    </comment>
    <comment authorId="0" ref="D108">
      <text>
        <t xml:space="preserve">======
ID#AAAA6ExiLvU
Clauber Bridi    (2022-08-23 13:58:08)
Informar o valor unitário diário do vale refeição, considerando o desconto aplicável ao funcionário, conforme Convenção Coletiva da categoria.</t>
      </text>
    </comment>
    <comment authorId="0" ref="D312">
      <text>
        <t xml:space="preserve">======
ID#AAAA6ExiLw4
Clauber Bridi    (2022-08-23 13:58:08)
Informar o preço unitário de cada recapagem</t>
      </text>
    </comment>
    <comment authorId="0" ref="C347">
      <text>
        <t xml:space="preserve">======
ID#AAAA6ExiLvQ
Clauber Bridi    (2022-08-23 13:58:08)
Preencher a aba 4.BDI</t>
      </text>
    </comment>
    <comment authorId="0" ref="D122">
      <text>
        <t xml:space="preserve">======
ID#AAAA6ExiLw0
Clauber Bridi    (2022-08-23 13:58:08)
Informar o valor mensal do auxilio alimentação, considerando o desconto aplicável ao funcionário, conforme Convenção Coletiva da categoria</t>
      </text>
    </comment>
  </commentList>
  <extLst>
    <ext uri="GoogleSheetsCustomDataVersion2">
      <go:sheetsCustomData xmlns:go="http://customooxmlschemas.google.com/" r:id="rId1" roundtripDataSignature="AMtx7mhWRGJDHPdb2Arzcu/JReU3hKHRu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======
ID#AAAA6ExiLpw
Clauber Bridi    (2022-08-23 13:58:08)
Informar o % de Seguros, Riscos e Garantia estimado</t>
      </text>
    </comment>
    <comment authorId="0" ref="E8">
      <text>
        <t xml:space="preserve">======
ID#AAAA6ExiLs4
Clauber Bridi    (2022-08-23 13:58:08)
Informar o valor anual da taxa financeira, em percentual. Admite-se utilizar a SELIC</t>
      </text>
    </comment>
    <comment authorId="0" ref="C5">
      <text>
        <t xml:space="preserve">======
ID#AAAA6ExiLuM
Clauber Bridi    (2022-08-23 13:58:08)
Informar o % de Administração Central estimado</t>
      </text>
    </comment>
  </commentList>
  <extLst>
    <ext uri="GoogleSheetsCustomDataVersion2">
      <go:sheetsCustomData xmlns:go="http://customooxmlschemas.google.com/" r:id="rId1" roundtripDataSignature="AMtx7mj6ydTaCfDFIlWO8KP86S6QF71BI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8">
      <text>
        <t xml:space="preserve">======
ID#AAAA6ExiLrs
cbridi    (2022-08-23 13:58:08)
Informe o número de dias de coleta por semana</t>
      </text>
    </comment>
    <comment authorId="0" ref="C6">
      <text>
        <t xml:space="preserve">======
ID#AAAA6ExiLqQ
Omar    (2022-08-23 13:58:08)
retorna a geração diária a ser recolhida</t>
      </text>
    </comment>
    <comment authorId="0" ref="C5">
      <text>
        <t xml:space="preserve">======
ID#AAAA6ExiLqk
Clauber Bridi    (2022-08-23 13:58:08)
Caso o município possua informações de pesagem, ajustar com o valor da geração média per capita realizada nos últimos 12 meses</t>
      </text>
    </comment>
    <comment authorId="0" ref="C4">
      <text>
        <t xml:space="preserve">======
ID#AAAA6ExiLvs
cbridi    (2022-08-23 13:58:08)
Informar a população do município a ser atendida</t>
      </text>
    </comment>
    <comment authorId="0" ref="C15">
      <text>
        <t xml:space="preserve">======
ID#AAAA6ExiLnk
Clauber Bridi    (2022-08-23 13:58:08)
Informar o número de percursos de coleta (cargas) que cada caminhão realiza por dia, considerando todos os turnos de trabalho.</t>
      </text>
    </comment>
    <comment authorId="0" ref="C12">
      <text>
        <t xml:space="preserve">======
ID#AAAA6ExiLwI
cbridi    (2022-08-23 13:58:08)
Informar a capacidade do compactador em m³</t>
      </text>
    </comment>
    <comment authorId="0" ref="C11">
      <text>
        <t xml:space="preserve">======
ID#AAAA6ExiLvg
cbridi    (2022-08-23 13:58:08)
Informar 1 para caminhão toco; Informar 2 para caminhão truck</t>
      </text>
    </comment>
  </commentList>
  <extLst>
    <ext uri="GoogleSheetsCustomDataVersion2">
      <go:sheetsCustomData xmlns:go="http://customooxmlschemas.google.com/" r:id="rId1" roundtripDataSignature="AMtx7mjR1qN9/5+c8uK+YD2iol6BkVSwDA=="/>
    </ext>
  </extLst>
</comments>
</file>

<file path=xl/sharedStrings.xml><?xml version="1.0" encoding="utf-8"?>
<sst xmlns="http://schemas.openxmlformats.org/spreadsheetml/2006/main" count="685" uniqueCount="342">
  <si>
    <t xml:space="preserve">1. Coleta de Resíduos Sólidos </t>
  </si>
  <si>
    <t>Planilha de Composição de Custos</t>
  </si>
  <si>
    <t>Orçamento Sintético</t>
  </si>
  <si>
    <t>Descrição do Item</t>
  </si>
  <si>
    <t>Custo (R$/mês)</t>
  </si>
  <si>
    <t>%</t>
  </si>
  <si>
    <t xml:space="preserve">        3.1.1. Depreciação        </t>
  </si>
  <si>
    <t xml:space="preserve">        3.1.2. Remuneração do Capital        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</si>
  <si>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</si>
  <si>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</si>
  <si>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</si>
  <si>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</si>
  <si>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</si>
  <si>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</si>
  <si>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</si>
  <si>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</si>
  <si>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</si>
  <si>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</si>
  <si>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</si>
  <si>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</si>
  <si>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</si>
  <si>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</si>
  <si>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Piso da categoria</t>
  </si>
  <si>
    <t>mês</t>
  </si>
  <si>
    <t>Horas Extras (100%)</t>
  </si>
  <si>
    <t>hora</t>
  </si>
  <si>
    <t>Horas Extras (50%)</t>
  </si>
  <si>
    <t>Descanso Semanal Remunerado (DSR) - hora extra</t>
  </si>
  <si>
    <t>R$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</si>
  <si>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</si>
  <si>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</si>
  <si>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</si>
  <si>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</si>
  <si>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</si>
  <si>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</si>
  <si>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</si>
  <si>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 xml:space="preserve">1.2. Motorista Turno do Dia  SETCERGS - RS002281/2025 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</si>
  <si>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</si>
  <si>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Piso da categoria (2)</t>
  </si>
  <si>
    <t>Salário mínimo nacional (1)</t>
  </si>
  <si>
    <t>Base de cálculo da Insalubridade</t>
  </si>
  <si>
    <t>Total por Motorista</t>
  </si>
  <si>
    <t>1.3. Gerente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</si>
  <si>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</si>
  <si>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Total por Gerente</t>
  </si>
  <si>
    <t>1.5. Vale Transporte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</si>
  <si>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</si>
  <si>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Vale Transporte</t>
  </si>
  <si>
    <t>Dias Trabalhados por mês</t>
  </si>
  <si>
    <t>dia</t>
  </si>
  <si>
    <t>Coletor</t>
  </si>
  <si>
    <t>vale</t>
  </si>
  <si>
    <t>Motorista</t>
  </si>
  <si>
    <t>Gerente</t>
  </si>
  <si>
    <t>Para os cargos de coletor e motorista foram considerados 23 dias, pois aos sábados o serviço será realizado por apenas uma equipe (1 motorista e 3 garis).</t>
  </si>
  <si>
    <t>1.6. Vale-refeição (diário)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</si>
  <si>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</si>
  <si>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unidade</t>
  </si>
  <si>
    <t>1.7. Auxílio Alimentação (mensal)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</si>
  <si>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</si>
  <si>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1.8. Plano de Beneficio Social Familiar (mensal)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</si>
  <si>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</si>
  <si>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-</t>
  </si>
  <si>
    <t>Custo Mensal com Mão-de-obra (R$/mês)</t>
  </si>
  <si>
    <t>2. Uniformes e Equipamentos de Proteção Individual</t>
  </si>
  <si>
    <t>2.1. Uniformes e EPIs para Coletor</t>
  </si>
  <si>
    <t>Durabilidade (meses)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</si>
  <si>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</si>
  <si>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Jaqueta com reflexivo (NBR 15.292)</t>
  </si>
  <si>
    <t>Calça</t>
  </si>
  <si>
    <t>Camiseta</t>
  </si>
  <si>
    <t>Boné</t>
  </si>
  <si>
    <t>Botina de segurança c/ biqueira de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</si>
  <si>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</si>
  <si>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</si>
  <si>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</si>
  <si>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</si>
  <si>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</si>
  <si>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</si>
  <si>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</si>
  <si>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</si>
  <si>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</si>
  <si>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</si>
  <si>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</si>
  <si>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Botina de segurança c/ biqueira aço</t>
  </si>
  <si>
    <t>Custo Mensal com Uniformes e EPIs (R$/mês)</t>
  </si>
  <si>
    <t>3. Veículos e Equipamentos</t>
  </si>
  <si>
    <r>
      <rPr>
        <rFont val="Arial"/>
        <color theme="1"/>
        <sz val="10.0"/>
      </rPr>
      <t>3.1. Veículo Coletor Compactador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12 m³</t>
    </r>
  </si>
  <si>
    <t>3.1.1. Depreciação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</si>
  <si>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</si>
  <si>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aquisição do chassis (caminhão com compactador)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</si>
  <si>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</si>
  <si>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</si>
  <si>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</si>
  <si>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</si>
  <si>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</si>
  <si>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</si>
  <si>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</si>
  <si>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</si>
  <si>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</si>
  <si>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</si>
  <si>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</si>
  <si>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</si>
  <si>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Obs.: Foi prevista a remuneração de 10% que contempla eventual necessidade de substituição de equipamentos coletores que estiverem fora de operação conforme orientação do TCE/RS (Item 3.8 da Orientação Técnica).</t>
  </si>
  <si>
    <t>3.1.2. Remuneração do Capital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</si>
  <si>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</si>
  <si>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</si>
  <si>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</si>
  <si>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</si>
  <si>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</si>
  <si>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</si>
  <si>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</si>
  <si>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</si>
  <si>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</si>
  <si>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</si>
  <si>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</si>
  <si>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</si>
  <si>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</si>
  <si>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</si>
  <si>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</si>
  <si>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</si>
  <si>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</si>
  <si>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</si>
  <si>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</si>
  <si>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</si>
  <si>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óleo diesel / km rodado</t>
  </si>
  <si>
    <t>km/l</t>
  </si>
  <si>
    <t>Custo mensal com óleo diesel</t>
  </si>
  <si>
    <t>km</t>
  </si>
  <si>
    <t>Arla 32</t>
  </si>
  <si>
    <t>Custo mensal com Arla 32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</si>
  <si>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</si>
  <si>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</si>
  <si>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</si>
  <si>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</si>
  <si>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</si>
  <si>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</si>
  <si>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</si>
  <si>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</si>
  <si>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</si>
  <si>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com consumos/km rodado</t>
  </si>
  <si>
    <t>R$/km rodado</t>
  </si>
  <si>
    <t>3.1.5. Manutenção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</si>
  <si>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</si>
  <si>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manutenção dos caminhões</t>
  </si>
  <si>
    <t>3.1.6. Pneus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</si>
  <si>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</si>
  <si>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jogo de pneus 275/80 R22,5"</t>
  </si>
  <si>
    <t>Número de recapagens por pneu</t>
  </si>
  <si>
    <t>Custo de recapagem</t>
  </si>
  <si>
    <r>
      <rPr>
        <rFont val="Arial"/>
        <color theme="1"/>
        <sz val="10.0"/>
      </rPr>
      <t>Custo jg. compl. + 1</t>
    </r>
    <r>
      <rPr>
        <rFont val="Arial"/>
        <color theme="1"/>
        <sz val="10.0"/>
      </rPr>
      <t xml:space="preserve"> recap./ km rodado</t>
    </r>
  </si>
  <si>
    <t>km/jogo</t>
  </si>
  <si>
    <t>Custo mensal com pneus</t>
  </si>
  <si>
    <t>3.2. Veículo picape 4x2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</si>
  <si>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</si>
  <si>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aquisição do chassis</t>
  </si>
  <si>
    <t>Custo de aquisição da carroceria</t>
  </si>
  <si>
    <t>Vida útil da carroceria</t>
  </si>
  <si>
    <t>Idade da carroceria</t>
  </si>
  <si>
    <t>Depreciação da carroceria</t>
  </si>
  <si>
    <t>Depreciação mensal da carroceria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</si>
  <si>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</si>
  <si>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3.2.3. Impostos e Seguros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</si>
  <si>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</si>
  <si>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3.2.4. Consumos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</si>
  <si>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</si>
  <si>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gasolina/ km rodado</t>
  </si>
  <si>
    <t>Custo mensal com gasolina</t>
  </si>
  <si>
    <t>Custo mensal com graxa</t>
  </si>
  <si>
    <t>3.2.5. Manutenção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</si>
  <si>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</si>
  <si>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manutenção da caminhonete</t>
  </si>
  <si>
    <t>3.2.6. Pneus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</si>
  <si>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</si>
  <si>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jogo de pneus 215/80 R16"</t>
  </si>
  <si>
    <t>Custo jg. compl. + 0 recap./ km rodado</t>
  </si>
  <si>
    <t>Custo Mensal com Veículos e Equipamentos (R$/mês)</t>
  </si>
  <si>
    <t>4. Ferramentas e Materiais de Consumo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</si>
  <si>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</si>
  <si>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Recipiente térmico para água (5L)</t>
  </si>
  <si>
    <t>Pá de Concha</t>
  </si>
  <si>
    <t>Forcado</t>
  </si>
  <si>
    <t>Vassoura</t>
  </si>
  <si>
    <t>Publicidade (adesivos veículos)</t>
  </si>
  <si>
    <t>cj</t>
  </si>
  <si>
    <t>Custo Mensal com Ferramentas e Materiais de Consumo (R$/mês)</t>
  </si>
  <si>
    <t>5. Monitoramento da Frota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</si>
  <si>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</si>
  <si>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</si>
  <si>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</si>
  <si>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</si>
  <si>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</si>
  <si>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</si>
  <si>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MENSAL COM DESPESAS OPERACIONAIS (R$/mês)</t>
  </si>
  <si>
    <t>6. Benefícios e Despesas Indiretas - BDI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</si>
  <si>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</si>
  <si>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Benefícios e despesas indiretas</t>
  </si>
  <si>
    <t>CUSTO MENSAL COM BDI (R$/mês)</t>
  </si>
  <si>
    <t>PREÇO MENSAL TOTAL (R$/mês)</t>
  </si>
  <si>
    <t>Quantidade média de resíduos coletados por mês</t>
  </si>
  <si>
    <t>toneladas</t>
  </si>
  <si>
    <t>PREÇO POR TONELADA COLETADA:  [A/B]</t>
  </si>
  <si>
    <t>R$/tonelada</t>
  </si>
  <si>
    <t>Orientações para preenchimento: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</si>
  <si>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</si>
  <si>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</si>
  <si>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</si>
  <si>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</si>
  <si>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</si>
  <si>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</si>
  <si>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</si>
  <si>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</si>
  <si>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</si>
  <si>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</si>
  <si>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</si>
  <si>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</si>
  <si>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</si>
  <si>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</si>
  <si>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</si>
  <si>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</si>
  <si>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</si>
  <si>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</si>
  <si>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</si>
  <si>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</si>
  <si>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</si>
  <si>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</si>
  <si>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</si>
  <si>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</si>
  <si>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</si>
  <si>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</si>
  <si>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</si>
  <si>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</si>
  <si>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</si>
  <si>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</si>
  <si>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</si>
  <si>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</si>
  <si>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</si>
  <si>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</si>
  <si>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</si>
  <si>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</si>
  <si>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</si>
  <si>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</si>
  <si>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</si>
  <si>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</si>
  <si>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</si>
  <si>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</si>
  <si>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</si>
  <si>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</si>
  <si>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</si>
  <si>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</si>
  <si>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</si>
  <si>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</si>
  <si>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</si>
  <si>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</si>
  <si>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</si>
  <si>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</si>
  <si>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</si>
  <si>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</si>
  <si>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</si>
  <si>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</si>
  <si>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 DOS EMPREGADOS NO SETOR DE COLETA DE RSU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</si>
  <si>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</si>
  <si>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</si>
  <si>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</si>
  <si>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</si>
  <si>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</si>
  <si>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</si>
  <si>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</si>
  <si>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</si>
  <si>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</si>
  <si>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</si>
  <si>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</si>
  <si>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</si>
  <si>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</si>
  <si>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</si>
  <si>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</si>
  <si>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</si>
  <si>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</si>
  <si>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</si>
  <si>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</si>
  <si>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</si>
  <si>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</si>
  <si>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</si>
  <si>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</si>
  <si>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</si>
  <si>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</si>
  <si>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</si>
  <si>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</si>
  <si>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</si>
  <si>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</si>
  <si>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</si>
  <si>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</si>
  <si>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</si>
  <si>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</si>
  <si>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</si>
  <si>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</si>
  <si>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</si>
  <si>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</si>
  <si>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</si>
  <si>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</si>
  <si>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</si>
  <si>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</si>
  <si>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</si>
  <si>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</si>
  <si>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</si>
  <si>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</si>
  <si>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</si>
  <si>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</si>
  <si>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</si>
  <si>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</si>
  <si>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</si>
  <si>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</si>
  <si>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</si>
  <si>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</si>
  <si>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rFont val="Arial"/>
        <color theme="1"/>
        <sz val="12.0"/>
      </rPr>
      <t>J</t>
    </r>
    <r>
      <rPr>
        <rFont val="Arial"/>
        <color rgb="FF000000"/>
        <sz val="12.0"/>
        <vertAlign val="subscript"/>
      </rPr>
      <t>m</t>
    </r>
    <r>
      <rPr>
        <rFont val="Arial"/>
        <color rgb="FF000000"/>
        <sz val="12.0"/>
      </rPr>
      <t xml:space="preserve"> = remuneração de capital mensal</t>
    </r>
  </si>
  <si>
    <t>i = taxa de juros do mercado (sugere-se adotar a taxa SELIC)</t>
  </si>
  <si>
    <t>Im = investimento médio</t>
  </si>
  <si>
    <r>
      <rPr>
        <rFont val="Arial"/>
        <color theme="1"/>
        <sz val="12.0"/>
      </rPr>
      <t>V</t>
    </r>
    <r>
      <rPr>
        <rFont val="Arial"/>
        <color rgb="FF000000"/>
        <sz val="12.0"/>
        <vertAlign val="subscript"/>
      </rPr>
      <t>0</t>
    </r>
    <r>
      <rPr>
        <rFont val="Arial"/>
        <color rgb="FF000000"/>
        <sz val="12.0"/>
      </rPr>
      <t xml:space="preserve"> = valor inicial do bem</t>
    </r>
  </si>
  <si>
    <r>
      <rPr>
        <rFont val="Arial"/>
        <color theme="1"/>
        <sz val="12.0"/>
      </rPr>
      <t>V</t>
    </r>
    <r>
      <rPr>
        <rFont val="Arial"/>
        <color rgb="FF000000"/>
        <sz val="12.0"/>
        <vertAlign val="subscript"/>
      </rPr>
      <t>r</t>
    </r>
    <r>
      <rPr>
        <rFont val="Arial"/>
        <color rgb="FF000000"/>
        <sz val="12.0"/>
      </rPr>
      <t xml:space="preserve"> = valor residual do bem</t>
    </r>
  </si>
  <si>
    <t>n = vida útil do bem em anos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</si>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</sst>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-* #,##0.00_-;\-* #,##0.00_-;_-* &quot;-&quot;??_-;_-@"/>
    <numFmt numFmtId="169" formatCode="_(* #,##0.000_);_(* \(#,##0.000\);_(* &quot;-&quot;??_);_(@_)"/>
    <numFmt numFmtId="170" formatCode="_(* #,##0.000000_);_(* \(#,##0.000000\);_(* &quot;-&quot;??_);_(@_)"/>
    <numFmt numFmtId="171" formatCode="0.0000"/>
    <numFmt numFmtId="172" formatCode="_-* #,##0.000_-;\-* #,##0.000_-;_-* &quot;-&quot;??_-;_-@"/>
    <numFmt numFmtId="173" formatCode="_-* #,##0.00_-;\-* #,##0.00_-;_-* &quot;-&quot;?_-;_-@"/>
    <numFmt numFmtId="174" formatCode="_-* #,##0_-;\-* #,##0_-;_-* &quot;-&quot;?_-;_-@"/>
  </numFmts>
  <fonts count="22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b/>
      <sz val="9.0"/>
      <color theme="1"/>
      <name val="Arial"/>
    </font>
    <font>
      <sz val="8.0"/>
      <color theme="1"/>
      <name val="Arial"/>
    </font>
    <font>
      <color theme="1"/>
      <name val="Arial"/>
    </font>
    <font>
      <u/>
      <sz val="10.0"/>
      <color rgb="FF0000FF"/>
      <name val="Arial"/>
    </font>
    <font>
      <sz val="10.0"/>
      <color rgb="FFFF0000"/>
      <name val="Arial"/>
    </font>
    <font>
      <sz val="9.0"/>
      <color theme="1"/>
      <name val="Arial"/>
    </font>
    <font>
      <i/>
      <sz val="10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sz val="13.0"/>
      <color theme="1"/>
      <name val="Arial"/>
    </font>
    <font>
      <u/>
      <sz val="10.0"/>
      <color rgb="FF0000FF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</fills>
  <borders count="70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4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vertical="center"/>
    </xf>
    <xf borderId="4" fillId="2" fontId="5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vertical="center"/>
    </xf>
    <xf borderId="8" fillId="0" fontId="1" numFmtId="164" xfId="0" applyAlignment="1" applyBorder="1" applyFont="1" applyNumberFormat="1">
      <alignment vertical="center"/>
    </xf>
    <xf borderId="9" fillId="2" fontId="6" numFmtId="164" xfId="0" applyAlignment="1" applyBorder="1" applyFont="1" applyNumberForma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7" numFmtId="164" xfId="0" applyAlignment="1" applyBorder="1" applyFont="1" applyNumberFormat="1">
      <alignment horizontal="center" vertical="center"/>
    </xf>
    <xf borderId="13" fillId="0" fontId="1" numFmtId="164" xfId="0" applyAlignment="1" applyBorder="1" applyFont="1" applyNumberFormat="1">
      <alignment vertical="center"/>
    </xf>
    <xf borderId="13" fillId="0" fontId="7" numFmtId="164" xfId="0" applyAlignment="1" applyBorder="1" applyFont="1" applyNumberFormat="1">
      <alignment vertical="center"/>
    </xf>
    <xf borderId="14" fillId="0" fontId="7" numFmtId="164" xfId="0" applyAlignment="1" applyBorder="1" applyFont="1" applyNumberFormat="1">
      <alignment vertical="center"/>
    </xf>
    <xf borderId="15" fillId="0" fontId="7" numFmtId="164" xfId="0" applyAlignment="1" applyBorder="1" applyFont="1" applyNumberFormat="1">
      <alignment horizontal="center" vertical="center"/>
    </xf>
    <xf borderId="16" fillId="0" fontId="7" numFmtId="164" xfId="0" applyAlignment="1" applyBorder="1" applyFont="1" applyNumberFormat="1">
      <alignment vertical="center"/>
    </xf>
    <xf borderId="17" fillId="0" fontId="7" numFmtId="164" xfId="0" applyAlignment="1" applyBorder="1" applyFont="1" applyNumberFormat="1">
      <alignment vertical="center"/>
    </xf>
    <xf borderId="18" fillId="0" fontId="7" numFmtId="165" xfId="0" applyAlignment="1" applyBorder="1" applyFont="1" applyNumberFormat="1">
      <alignment vertical="center"/>
    </xf>
    <xf borderId="19" fillId="0" fontId="7" numFmtId="10" xfId="0" applyAlignment="1" applyBorder="1" applyFont="1" applyNumberFormat="1">
      <alignment vertical="center"/>
    </xf>
    <xf borderId="0" fillId="0" fontId="7" numFmtId="164" xfId="0" applyAlignment="1" applyFont="1" applyNumberFormat="1">
      <alignment vertical="center"/>
    </xf>
    <xf borderId="0" fillId="0" fontId="7" numFmtId="0" xfId="0" applyAlignment="1" applyFont="1">
      <alignment vertical="center"/>
    </xf>
    <xf borderId="16" fillId="0" fontId="1" numFmtId="164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vertical="center"/>
    </xf>
    <xf borderId="18" fillId="0" fontId="1" numFmtId="165" xfId="0" applyAlignment="1" applyBorder="1" applyFont="1" applyNumberFormat="1">
      <alignment vertical="center"/>
    </xf>
    <xf borderId="16" fillId="0" fontId="7" numFmtId="164" xfId="0" applyAlignment="1" applyBorder="1" applyFont="1" applyNumberFormat="1">
      <alignment horizontal="left" vertical="center"/>
    </xf>
    <xf borderId="17" fillId="0" fontId="3" numFmtId="0" xfId="0" applyBorder="1" applyFont="1"/>
    <xf borderId="17" fillId="0" fontId="7" numFmtId="4" xfId="0" applyAlignment="1" applyBorder="1" applyFont="1" applyNumberFormat="1">
      <alignment horizontal="center" vertical="center"/>
    </xf>
    <xf borderId="16" fillId="0" fontId="1" numFmtId="164" xfId="0" applyAlignment="1" applyBorder="1" applyFont="1" applyNumberFormat="1">
      <alignment horizontal="left" vertical="center"/>
    </xf>
    <xf borderId="17" fillId="0" fontId="1" numFmtId="4" xfId="0" applyAlignment="1" applyBorder="1" applyFont="1" applyNumberFormat="1">
      <alignment horizontal="center" vertical="center"/>
    </xf>
    <xf borderId="16" fillId="0" fontId="8" numFmtId="164" xfId="0" applyAlignment="1" applyBorder="1" applyFont="1" applyNumberFormat="1">
      <alignment horizontal="left" vertical="center"/>
    </xf>
    <xf borderId="20" fillId="0" fontId="7" numFmtId="165" xfId="0" applyAlignment="1" applyBorder="1" applyFont="1" applyNumberFormat="1">
      <alignment vertical="center"/>
    </xf>
    <xf borderId="9" fillId="0" fontId="7" numFmtId="164" xfId="0" applyAlignment="1" applyBorder="1" applyFont="1" applyNumberFormat="1">
      <alignment horizontal="left" vertical="center"/>
    </xf>
    <xf borderId="10" fillId="0" fontId="7" numFmtId="4" xfId="0" applyAlignment="1" applyBorder="1" applyFont="1" applyNumberFormat="1">
      <alignment horizontal="center" vertical="center"/>
    </xf>
    <xf borderId="10" fillId="0" fontId="7" numFmtId="164" xfId="0" applyAlignment="1" applyBorder="1" applyFont="1" applyNumberFormat="1">
      <alignment vertical="center"/>
    </xf>
    <xf borderId="21" fillId="0" fontId="7" numFmtId="166" xfId="0" applyAlignment="1" applyBorder="1" applyFont="1" applyNumberFormat="1">
      <alignment vertical="center"/>
    </xf>
    <xf borderId="9" fillId="0" fontId="7" numFmtId="164" xfId="0" applyAlignment="1" applyBorder="1" applyFont="1" applyNumberFormat="1">
      <alignment horizontal="center" vertical="center"/>
    </xf>
    <xf borderId="22" fillId="0" fontId="3" numFmtId="0" xfId="0" applyBorder="1" applyFont="1"/>
    <xf borderId="23" fillId="0" fontId="7" numFmtId="164" xfId="0" applyAlignment="1" applyBorder="1" applyFont="1" applyNumberFormat="1">
      <alignment horizontal="right" vertical="center"/>
    </xf>
    <xf borderId="12" fillId="0" fontId="1" numFmtId="164" xfId="0" applyAlignment="1" applyBorder="1" applyFont="1" applyNumberFormat="1">
      <alignment vertical="center"/>
    </xf>
    <xf borderId="13" fillId="0" fontId="1" numFmtId="0" xfId="0" applyAlignment="1" applyBorder="1" applyFont="1">
      <alignment vertical="center"/>
    </xf>
    <xf borderId="15" fillId="0" fontId="1" numFmtId="1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vertical="center"/>
    </xf>
    <xf borderId="24" fillId="0" fontId="1" numFmtId="1" xfId="0" applyAlignment="1" applyBorder="1" applyFont="1" applyNumberFormat="1">
      <alignment horizontal="center" vertical="center"/>
    </xf>
    <xf borderId="25" fillId="0" fontId="7" numFmtId="164" xfId="0" applyAlignment="1" applyBorder="1" applyFont="1" applyNumberFormat="1">
      <alignment vertical="center"/>
    </xf>
    <xf borderId="26" fillId="0" fontId="7" numFmtId="4" xfId="0" applyAlignment="1" applyBorder="1" applyFont="1" applyNumberFormat="1">
      <alignment vertical="center"/>
    </xf>
    <xf borderId="26" fillId="0" fontId="1" numFmtId="0" xfId="0" applyAlignment="1" applyBorder="1" applyFont="1">
      <alignment vertical="center"/>
    </xf>
    <xf borderId="27" fillId="0" fontId="7" numFmtId="1" xfId="0" applyAlignment="1" applyBorder="1" applyFont="1" applyNumberFormat="1">
      <alignment horizontal="center" vertical="center"/>
    </xf>
    <xf borderId="7" fillId="0" fontId="7" numFmtId="164" xfId="0" applyAlignment="1" applyBorder="1" applyFont="1" applyNumberFormat="1">
      <alignment vertical="center"/>
    </xf>
    <xf borderId="0" fillId="0" fontId="7" numFmtId="4" xfId="0" applyAlignment="1" applyFont="1" applyNumberFormat="1">
      <alignment vertical="center"/>
    </xf>
    <xf borderId="28" fillId="0" fontId="7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31" fillId="0" fontId="1" numFmtId="164" xfId="0" applyAlignment="1" applyBorder="1" applyFont="1" applyNumberFormat="1">
      <alignment vertical="center"/>
    </xf>
    <xf borderId="18" fillId="0" fontId="1" numFmtId="1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9" fillId="0" fontId="7" numFmtId="164" xfId="0" applyAlignment="1" applyBorder="1" applyFont="1" applyNumberFormat="1">
      <alignment vertical="center"/>
    </xf>
    <xf borderId="32" fillId="3" fontId="7" numFmtId="9" xfId="0" applyAlignment="1" applyBorder="1" applyFill="1" applyFont="1" applyNumberFormat="1">
      <alignment vertical="center"/>
    </xf>
    <xf borderId="0" fillId="0" fontId="7" numFmtId="167" xfId="0" applyAlignment="1" applyFont="1" applyNumberFormat="1">
      <alignment horizontal="center" vertical="center"/>
    </xf>
    <xf borderId="33" fillId="4" fontId="9" numFmtId="0" xfId="0" applyAlignment="1" applyBorder="1" applyFill="1" applyFont="1">
      <alignment horizontal="center" vertical="center"/>
    </xf>
    <xf borderId="34" fillId="4" fontId="9" numFmtId="0" xfId="0" applyAlignment="1" applyBorder="1" applyFont="1">
      <alignment horizontal="center" vertical="center"/>
    </xf>
    <xf borderId="34" fillId="4" fontId="9" numFmtId="164" xfId="0" applyAlignment="1" applyBorder="1" applyFont="1" applyNumberFormat="1">
      <alignment horizontal="center" vertical="center"/>
    </xf>
    <xf borderId="35" fillId="4" fontId="9" numFmtId="164" xfId="0" applyAlignment="1" applyBorder="1" applyFont="1" applyNumberFormat="1">
      <alignment horizontal="center" vertical="center"/>
    </xf>
    <xf borderId="36" fillId="0" fontId="1" numFmtId="0" xfId="0" applyAlignment="1" applyBorder="1" applyFont="1">
      <alignment vertical="center"/>
    </xf>
    <xf borderId="36" fillId="0" fontId="1" numFmtId="0" xfId="0" applyAlignment="1" applyBorder="1" applyFont="1">
      <alignment horizontal="center" vertical="center"/>
    </xf>
    <xf borderId="37" fillId="3" fontId="1" numFmtId="164" xfId="0" applyAlignment="1" applyBorder="1" applyFont="1" applyNumberFormat="1">
      <alignment horizontal="center" vertical="center"/>
    </xf>
    <xf borderId="36" fillId="0" fontId="1" numFmtId="164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8" fillId="3" fontId="1" numFmtId="2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horizontal="center" vertical="center"/>
    </xf>
    <xf borderId="38" fillId="0" fontId="7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38" fillId="0" fontId="7" numFmtId="164" xfId="0" applyAlignment="1" applyBorder="1" applyFont="1" applyNumberFormat="1">
      <alignment horizontal="center" vertical="center"/>
    </xf>
    <xf borderId="18" fillId="5" fontId="1" numFmtId="164" xfId="0" applyAlignment="1" applyBorder="1" applyFill="1" applyFont="1" applyNumberFormat="1">
      <alignment horizontal="center" vertical="center"/>
    </xf>
    <xf borderId="0" fillId="0" fontId="10" numFmtId="0" xfId="0" applyAlignment="1" applyFont="1">
      <alignment vertical="center"/>
    </xf>
    <xf borderId="18" fillId="3" fontId="1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18" fillId="0" fontId="1" numFmtId="164" xfId="0" applyAlignment="1" applyBorder="1" applyFont="1" applyNumberFormat="1">
      <alignment vertical="center"/>
    </xf>
    <xf borderId="32" fillId="4" fontId="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1" numFmtId="164" xfId="0" applyFont="1" applyNumberFormat="1"/>
    <xf borderId="18" fillId="3" fontId="1" numFmtId="1" xfId="0" applyAlignment="1" applyBorder="1" applyFont="1" applyNumberFormat="1">
      <alignment horizontal="center" vertical="center"/>
    </xf>
    <xf borderId="18" fillId="0" fontId="7" numFmtId="0" xfId="0" applyAlignment="1" applyBorder="1" applyFont="1">
      <alignment vertical="center"/>
    </xf>
    <xf borderId="18" fillId="0" fontId="7" numFmtId="164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168" xfId="0" applyAlignment="1" applyFont="1" applyNumberFormat="1">
      <alignment vertical="center"/>
    </xf>
    <xf borderId="18" fillId="0" fontId="1" numFmtId="167" xfId="0" applyAlignment="1" applyBorder="1" applyFont="1" applyNumberFormat="1">
      <alignment horizontal="center" vertical="center"/>
    </xf>
    <xf borderId="39" fillId="3" fontId="1" numFmtId="164" xfId="0" applyAlignment="1" applyBorder="1" applyFont="1" applyNumberFormat="1">
      <alignment readingOrder="0" vertical="center"/>
    </xf>
    <xf borderId="39" fillId="3" fontId="1" numFmtId="0" xfId="0" applyAlignment="1" applyBorder="1" applyFont="1">
      <alignment vertical="center"/>
    </xf>
    <xf borderId="18" fillId="0" fontId="1" numFmtId="167" xfId="0" applyAlignment="1" applyBorder="1" applyFont="1" applyNumberFormat="1">
      <alignment vertical="center"/>
    </xf>
    <xf borderId="40" fillId="3" fontId="10" numFmtId="0" xfId="0" applyAlignment="1" applyBorder="1" applyFont="1">
      <alignment horizontal="left" vertical="center"/>
    </xf>
    <xf borderId="41" fillId="0" fontId="3" numFmtId="0" xfId="0" applyBorder="1" applyFont="1"/>
    <xf borderId="42" fillId="0" fontId="3" numFmtId="0" xfId="0" applyBorder="1" applyFont="1"/>
    <xf borderId="43" fillId="4" fontId="7" numFmtId="164" xfId="0" applyAlignment="1" applyBorder="1" applyFont="1" applyNumberFormat="1">
      <alignment vertical="center"/>
    </xf>
    <xf borderId="18" fillId="3" fontId="1" numFmtId="164" xfId="0" applyAlignment="1" applyBorder="1" applyFont="1" applyNumberFormat="1">
      <alignment horizontal="center"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1" fillId="0" fontId="7" numFmtId="164" xfId="0" applyAlignment="1" applyBorder="1" applyFont="1" applyNumberFormat="1">
      <alignment vertical="center"/>
    </xf>
    <xf borderId="34" fillId="4" fontId="9" numFmtId="0" xfId="0" applyAlignment="1" applyBorder="1" applyFont="1">
      <alignment horizontal="center" shrinkToFit="0" vertical="center" wrapText="1"/>
    </xf>
    <xf borderId="18" fillId="3" fontId="1" numFmtId="13" xfId="0" applyAlignment="1" applyBorder="1" applyFont="1" applyNumberFormat="1">
      <alignment vertical="center"/>
    </xf>
    <xf borderId="37" fillId="3" fontId="1" numFmtId="164" xfId="0" applyAlignment="1" applyBorder="1" applyFont="1" applyNumberFormat="1">
      <alignment horizontal="center" readingOrder="0" vertical="center"/>
    </xf>
    <xf borderId="18" fillId="0" fontId="1" numFmtId="0" xfId="0" applyBorder="1" applyFont="1"/>
    <xf borderId="18" fillId="0" fontId="1" numFmtId="0" xfId="0" applyAlignment="1" applyBorder="1" applyFont="1">
      <alignment horizontal="center"/>
    </xf>
    <xf borderId="0" fillId="0" fontId="1" numFmtId="164" xfId="0" applyFont="1" applyNumberFormat="1"/>
    <xf borderId="18" fillId="3" fontId="1" numFmtId="13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vertical="center"/>
    </xf>
    <xf borderId="10" fillId="0" fontId="1" numFmtId="164" xfId="0" applyAlignment="1" applyBorder="1" applyFont="1" applyNumberFormat="1">
      <alignment vertical="center"/>
    </xf>
    <xf borderId="11" fillId="0" fontId="1" numFmtId="164" xfId="0" applyAlignment="1" applyBorder="1" applyFont="1" applyNumberFormat="1">
      <alignment vertical="center"/>
    </xf>
    <xf borderId="43" fillId="4" fontId="7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36" fillId="0" fontId="1" numFmtId="0" xfId="0" applyAlignment="1" applyBorder="1" applyFont="1">
      <alignment readingOrder="0" vertical="center"/>
    </xf>
    <xf borderId="0" fillId="0" fontId="1" numFmtId="164" xfId="0" applyAlignment="1" applyFont="1" applyNumberFormat="1">
      <alignment horizontal="center" vertical="center"/>
    </xf>
    <xf borderId="18" fillId="0" fontId="7" numFmtId="0" xfId="0" applyAlignment="1" applyBorder="1" applyFont="1">
      <alignment horizontal="center" vertical="center"/>
    </xf>
    <xf borderId="18" fillId="3" fontId="1" numFmtId="164" xfId="0" applyAlignment="1" applyBorder="1" applyFont="1" applyNumberFormat="1">
      <alignment horizontal="center" readingOrder="0" vertical="center"/>
    </xf>
    <xf borderId="18" fillId="5" fontId="1" numFmtId="164" xfId="0" applyAlignment="1" applyBorder="1" applyFont="1" applyNumberFormat="1">
      <alignment vertical="center"/>
    </xf>
    <xf borderId="18" fillId="3" fontId="1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left" shrinkToFit="0" vertical="center" wrapText="1"/>
    </xf>
    <xf borderId="44" fillId="3" fontId="10" numFmtId="0" xfId="0" applyAlignment="1" applyBorder="1" applyFont="1">
      <alignment horizontal="left" shrinkToFit="0" vertical="center" wrapText="1"/>
    </xf>
    <xf borderId="45" fillId="0" fontId="3" numFmtId="0" xfId="0" applyBorder="1" applyFont="1"/>
    <xf borderId="39" fillId="0" fontId="7" numFmtId="164" xfId="0" applyAlignment="1" applyBorder="1" applyFont="1" applyNumberFormat="1">
      <alignment horizontal="center" vertical="center"/>
    </xf>
    <xf borderId="46" fillId="4" fontId="9" numFmtId="0" xfId="0" applyAlignment="1" applyBorder="1" applyFont="1">
      <alignment horizontal="center" vertical="center"/>
    </xf>
    <xf borderId="47" fillId="4" fontId="9" numFmtId="0" xfId="0" applyAlignment="1" applyBorder="1" applyFont="1">
      <alignment horizontal="center" vertical="center"/>
    </xf>
    <xf borderId="47" fillId="4" fontId="9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44" fillId="3" fontId="10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1" numFmtId="3" xfId="0" applyAlignment="1" applyFont="1" applyNumberFormat="1">
      <alignment vertical="center"/>
    </xf>
    <xf borderId="18" fillId="3" fontId="1" numFmtId="3" xfId="0" applyAlignment="1" applyBorder="1" applyFont="1" applyNumberFormat="1">
      <alignment readingOrder="0" vertical="center"/>
    </xf>
    <xf borderId="18" fillId="3" fontId="1" numFmtId="4" xfId="0" applyAlignment="1" applyBorder="1" applyFont="1" applyNumberFormat="1">
      <alignment horizontal="center" vertical="center"/>
    </xf>
    <xf borderId="18" fillId="3" fontId="1" numFmtId="169" xfId="0" applyAlignment="1" applyBorder="1" applyFont="1" applyNumberFormat="1">
      <alignment horizontal="center" readingOrder="0" vertical="center"/>
    </xf>
    <xf borderId="18" fillId="0" fontId="1" numFmtId="169" xfId="0" applyAlignment="1" applyBorder="1" applyFont="1" applyNumberFormat="1">
      <alignment horizontal="center" vertical="center"/>
    </xf>
    <xf borderId="18" fillId="3" fontId="1" numFmtId="169" xfId="0" applyAlignment="1" applyBorder="1" applyFont="1" applyNumberFormat="1">
      <alignment horizontal="center" vertical="center"/>
    </xf>
    <xf borderId="18" fillId="0" fontId="1" numFmtId="3" xfId="0" applyAlignment="1" applyBorder="1" applyFont="1" applyNumberFormat="1">
      <alignment vertical="center"/>
    </xf>
    <xf borderId="18" fillId="0" fontId="7" numFmtId="167" xfId="0" applyAlignment="1" applyBorder="1" applyFont="1" applyNumberFormat="1">
      <alignment horizontal="center" vertical="center"/>
    </xf>
    <xf borderId="18" fillId="0" fontId="7" numFmtId="169" xfId="0" applyAlignment="1" applyBorder="1" applyFont="1" applyNumberFormat="1">
      <alignment horizontal="center" vertical="center"/>
    </xf>
    <xf borderId="37" fillId="3" fontId="1" numFmtId="0" xfId="0" applyAlignment="1" applyBorder="1" applyFont="1">
      <alignment horizontal="center" vertical="center"/>
    </xf>
    <xf borderId="18" fillId="3" fontId="1" numFmtId="3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vertical="center"/>
    </xf>
    <xf borderId="37" fillId="3" fontId="1" numFmtId="4" xfId="0" applyAlignment="1" applyBorder="1" applyFont="1" applyNumberFormat="1">
      <alignment horizontal="center" readingOrder="0" vertical="center"/>
    </xf>
    <xf borderId="37" fillId="3" fontId="1" numFmtId="169" xfId="0" applyAlignment="1" applyBorder="1" applyFont="1" applyNumberFormat="1">
      <alignment horizontal="center" readingOrder="0" vertical="center"/>
    </xf>
    <xf borderId="18" fillId="0" fontId="1" numFmtId="0" xfId="0" applyAlignment="1" applyBorder="1" applyFont="1">
      <alignment readingOrder="0" vertical="center"/>
    </xf>
    <xf borderId="36" fillId="0" fontId="1" numFmtId="169" xfId="0" applyAlignment="1" applyBorder="1" applyFont="1" applyNumberFormat="1">
      <alignment horizontal="center" vertical="center"/>
    </xf>
    <xf borderId="18" fillId="3" fontId="1" numFmtId="4" xfId="0" applyAlignment="1" applyBorder="1" applyFont="1" applyNumberFormat="1">
      <alignment horizontal="center" readingOrder="0" vertical="center"/>
    </xf>
    <xf borderId="18" fillId="0" fontId="14" numFmtId="0" xfId="0" applyAlignment="1" applyBorder="1" applyFont="1">
      <alignment horizontal="center" vertical="center"/>
    </xf>
    <xf borderId="18" fillId="0" fontId="15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164" xfId="0" applyAlignment="1" applyFont="1" applyNumberFormat="1">
      <alignment vertical="center"/>
    </xf>
    <xf borderId="31" fillId="0" fontId="1" numFmtId="0" xfId="0" applyAlignment="1" applyBorder="1" applyFont="1">
      <alignment readingOrder="0" vertical="center"/>
    </xf>
    <xf borderId="48" fillId="3" fontId="1" numFmtId="164" xfId="0" applyAlignment="1" applyBorder="1" applyFont="1" applyNumberFormat="1">
      <alignment readingOrder="0" vertical="center"/>
    </xf>
    <xf borderId="49" fillId="0" fontId="1" numFmtId="164" xfId="0" applyAlignment="1" applyBorder="1" applyFont="1" applyNumberFormat="1">
      <alignment vertical="center"/>
    </xf>
    <xf borderId="11" fillId="0" fontId="7" numFmtId="164" xfId="0" applyAlignment="1" applyBorder="1" applyFont="1" applyNumberFormat="1">
      <alignment horizontal="right" vertical="center"/>
    </xf>
    <xf borderId="43" fillId="4" fontId="7" numFmtId="164" xfId="0" applyAlignment="1" applyBorder="1" applyFont="1" applyNumberFormat="1">
      <alignment horizontal="right" vertical="center"/>
    </xf>
    <xf borderId="0" fillId="0" fontId="1" numFmtId="170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1" numFmtId="0" xfId="0" applyFont="1"/>
    <xf borderId="0" fillId="0" fontId="4" numFmtId="4" xfId="0" applyAlignment="1" applyFont="1" applyNumberFormat="1">
      <alignment vertical="center"/>
    </xf>
    <xf borderId="0" fillId="0" fontId="4" numFmtId="0" xfId="0" applyFont="1"/>
    <xf borderId="12" fillId="2" fontId="5" numFmtId="0" xfId="0" applyAlignment="1" applyBorder="1" applyFont="1">
      <alignment horizontal="center" vertical="center"/>
    </xf>
    <xf borderId="13" fillId="0" fontId="3" numFmtId="0" xfId="0" applyBorder="1" applyFont="1"/>
    <xf borderId="50" fillId="0" fontId="3" numFmtId="0" xfId="0" applyBorder="1" applyFont="1"/>
    <xf borderId="0" fillId="0" fontId="2" numFmtId="0" xfId="0" applyAlignment="1" applyFont="1">
      <alignment vertical="center"/>
    </xf>
    <xf borderId="51" fillId="0" fontId="16" numFmtId="0" xfId="0" applyAlignment="1" applyBorder="1" applyFont="1">
      <alignment horizontal="left" vertical="center"/>
    </xf>
    <xf borderId="18" fillId="0" fontId="16" numFmtId="0" xfId="0" applyAlignment="1" applyBorder="1" applyFont="1">
      <alignment horizontal="left" vertical="center"/>
    </xf>
    <xf borderId="24" fillId="0" fontId="16" numFmtId="0" xfId="0" applyAlignment="1" applyBorder="1" applyFont="1">
      <alignment horizontal="left" vertical="center"/>
    </xf>
    <xf borderId="0" fillId="0" fontId="16" numFmtId="0" xfId="0" applyAlignment="1" applyFont="1">
      <alignment horizontal="left" vertical="center"/>
    </xf>
    <xf borderId="24" fillId="0" fontId="16" numFmtId="10" xfId="0" applyAlignment="1" applyBorder="1" applyFont="1" applyNumberFormat="1">
      <alignment horizontal="right" vertical="center"/>
    </xf>
    <xf borderId="18" fillId="0" fontId="17" numFmtId="0" xfId="0" applyAlignment="1" applyBorder="1" applyFont="1">
      <alignment horizontal="left" vertical="center"/>
    </xf>
    <xf borderId="24" fillId="0" fontId="17" numFmtId="10" xfId="0" applyAlignment="1" applyBorder="1" applyFont="1" applyNumberFormat="1">
      <alignment horizontal="right" vertical="center"/>
    </xf>
    <xf borderId="51" fillId="6" fontId="16" numFmtId="0" xfId="0" applyAlignment="1" applyBorder="1" applyFill="1" applyFont="1">
      <alignment horizontal="left" vertical="center"/>
    </xf>
    <xf borderId="18" fillId="6" fontId="17" numFmtId="0" xfId="0" applyAlignment="1" applyBorder="1" applyFont="1">
      <alignment horizontal="left" vertical="center"/>
    </xf>
    <xf borderId="24" fillId="6" fontId="17" numFmtId="10" xfId="0" applyAlignment="1" applyBorder="1" applyFont="1" applyNumberFormat="1">
      <alignment horizontal="right" vertical="center"/>
    </xf>
    <xf borderId="18" fillId="0" fontId="4" numFmtId="0" xfId="0" applyAlignment="1" applyBorder="1" applyFont="1">
      <alignment horizontal="left" vertical="center"/>
    </xf>
    <xf borderId="0" fillId="0" fontId="18" numFmtId="0" xfId="0" applyAlignment="1" applyFont="1">
      <alignment horizontal="left" vertical="center"/>
    </xf>
    <xf borderId="0" fillId="0" fontId="1" numFmtId="10" xfId="0" applyFont="1" applyNumberFormat="1"/>
    <xf borderId="0" fillId="0" fontId="16" numFmtId="9" xfId="0" applyAlignment="1" applyFont="1" applyNumberFormat="1">
      <alignment horizontal="right" vertical="center"/>
    </xf>
    <xf borderId="18" fillId="0" fontId="16" numFmtId="0" xfId="0" applyAlignment="1" applyBorder="1" applyFont="1">
      <alignment horizontal="left" shrinkToFit="0" vertical="center" wrapText="1"/>
    </xf>
    <xf borderId="52" fillId="7" fontId="16" numFmtId="0" xfId="0" applyAlignment="1" applyBorder="1" applyFill="1" applyFont="1">
      <alignment horizontal="left" vertical="center"/>
    </xf>
    <xf borderId="20" fillId="7" fontId="17" numFmtId="0" xfId="0" applyAlignment="1" applyBorder="1" applyFont="1">
      <alignment horizontal="left" vertical="center"/>
    </xf>
    <xf borderId="53" fillId="7" fontId="17" numFmtId="10" xfId="0" applyAlignment="1" applyBorder="1" applyFont="1" applyNumberFormat="1">
      <alignment horizontal="right" vertical="center"/>
    </xf>
    <xf borderId="0" fillId="0" fontId="17" numFmtId="0" xfId="0" applyAlignment="1" applyFont="1">
      <alignment horizontal="left" vertical="center"/>
    </xf>
    <xf borderId="0" fillId="0" fontId="17" numFmtId="10" xfId="0" applyAlignment="1" applyFont="1" applyNumberFormat="1">
      <alignment horizontal="right" vertical="center"/>
    </xf>
    <xf borderId="39" fillId="8" fontId="18" numFmtId="0" xfId="0" applyAlignment="1" applyBorder="1" applyFill="1" applyFont="1">
      <alignment horizontal="left" vertical="center"/>
    </xf>
    <xf borderId="0" fillId="0" fontId="16" numFmtId="10" xfId="0" applyAlignment="1" applyFont="1" applyNumberFormat="1">
      <alignment horizontal="right" vertical="center"/>
    </xf>
    <xf borderId="39" fillId="8" fontId="16" numFmtId="0" xfId="0" applyAlignment="1" applyBorder="1" applyFont="1">
      <alignment horizontal="left" vertical="center"/>
    </xf>
    <xf borderId="0" fillId="0" fontId="19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  <xf borderId="0" fillId="0" fontId="16" numFmtId="0" xfId="0" applyAlignment="1" applyFont="1">
      <alignment horizontal="right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/>
    </xf>
    <xf borderId="12" fillId="9" fontId="5" numFmtId="0" xfId="0" applyAlignment="1" applyBorder="1" applyFill="1" applyFont="1">
      <alignment horizontal="center"/>
    </xf>
    <xf borderId="16" fillId="0" fontId="5" numFmtId="0" xfId="0" applyBorder="1" applyFont="1"/>
    <xf borderId="19" fillId="0" fontId="4" numFmtId="0" xfId="0" applyBorder="1" applyFont="1"/>
    <xf borderId="54" fillId="0" fontId="5" numFmtId="0" xfId="0" applyBorder="1" applyFont="1"/>
    <xf borderId="24" fillId="3" fontId="5" numFmtId="0" xfId="0" applyBorder="1" applyFont="1"/>
    <xf borderId="51" fillId="0" fontId="5" numFmtId="0" xfId="0" applyBorder="1" applyFont="1"/>
    <xf borderId="51" fillId="0" fontId="4" numFmtId="0" xfId="0" applyBorder="1" applyFont="1"/>
    <xf borderId="24" fillId="3" fontId="4" numFmtId="0" xfId="0" applyBorder="1" applyFont="1"/>
    <xf borderId="54" fillId="0" fontId="4" numFmtId="0" xfId="0" applyBorder="1" applyFont="1"/>
    <xf borderId="55" fillId="3" fontId="4" numFmtId="0" xfId="0" applyBorder="1" applyFont="1"/>
    <xf borderId="56" fillId="0" fontId="4" numFmtId="0" xfId="0" applyBorder="1" applyFont="1"/>
    <xf borderId="57" fillId="0" fontId="4" numFmtId="0" xfId="0" applyBorder="1" applyFont="1"/>
    <xf borderId="58" fillId="3" fontId="4" numFmtId="0" xfId="0" applyBorder="1" applyFont="1"/>
    <xf borderId="24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59" fillId="0" fontId="5" numFmtId="0" xfId="0" applyBorder="1" applyFont="1"/>
    <xf borderId="0" fillId="0" fontId="7" numFmtId="0" xfId="0" applyFont="1"/>
    <xf borderId="24" fillId="0" fontId="5" numFmtId="10" xfId="0" applyBorder="1" applyFont="1" applyNumberFormat="1"/>
    <xf borderId="24" fillId="0" fontId="5" numFmtId="171" xfId="0" applyBorder="1" applyFont="1" applyNumberFormat="1"/>
    <xf borderId="24" fillId="0" fontId="5" numFmtId="0" xfId="0" applyBorder="1" applyFont="1"/>
    <xf borderId="24" fillId="0" fontId="5" numFmtId="9" xfId="0" applyBorder="1" applyFont="1" applyNumberFormat="1"/>
    <xf borderId="25" fillId="0" fontId="5" numFmtId="0" xfId="0" applyBorder="1" applyFont="1"/>
    <xf borderId="27" fillId="0" fontId="5" numFmtId="9" xfId="0" applyBorder="1" applyFont="1" applyNumberFormat="1"/>
    <xf borderId="1" fillId="9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left" vertical="center"/>
    </xf>
    <xf borderId="12" fillId="0" fontId="5" numFmtId="9" xfId="0" applyAlignment="1" applyBorder="1" applyFont="1" applyNumberFormat="1">
      <alignment horizontal="center"/>
    </xf>
    <xf borderId="51" fillId="0" fontId="4" numFmtId="9" xfId="0" applyBorder="1" applyFont="1" applyNumberFormat="1"/>
    <xf borderId="18" fillId="0" fontId="4" numFmtId="9" xfId="0" applyAlignment="1" applyBorder="1" applyFont="1" applyNumberFormat="1">
      <alignment horizontal="center"/>
    </xf>
    <xf borderId="24" fillId="0" fontId="4" numFmtId="9" xfId="0" applyBorder="1" applyFont="1" applyNumberFormat="1"/>
    <xf borderId="60" fillId="0" fontId="4" numFmtId="0" xfId="0" applyAlignment="1" applyBorder="1" applyFont="1">
      <alignment horizontal="left" vertical="center"/>
    </xf>
    <xf borderId="61" fillId="0" fontId="4" numFmtId="0" xfId="0" applyAlignment="1" applyBorder="1" applyFont="1">
      <alignment horizontal="center" vertical="center"/>
    </xf>
    <xf borderId="15" fillId="3" fontId="4" numFmtId="10" xfId="0" applyAlignment="1" applyBorder="1" applyFont="1" applyNumberFormat="1">
      <alignment horizontal="center" readingOrder="0" vertical="center"/>
    </xf>
    <xf borderId="51" fillId="0" fontId="4" numFmtId="10" xfId="0" applyAlignment="1" applyBorder="1" applyFont="1" applyNumberFormat="1">
      <alignment horizontal="right"/>
    </xf>
    <xf borderId="18" fillId="0" fontId="4" numFmtId="10" xfId="0" applyAlignment="1" applyBorder="1" applyFont="1" applyNumberFormat="1">
      <alignment horizontal="right"/>
    </xf>
    <xf borderId="24" fillId="0" fontId="4" numFmtId="10" xfId="0" applyAlignment="1" applyBorder="1" applyFont="1" applyNumberFormat="1">
      <alignment horizontal="right"/>
    </xf>
    <xf borderId="51" fillId="0" fontId="4" numFmtId="0" xfId="0" applyAlignment="1" applyBorder="1" applyFont="1">
      <alignment horizontal="left" vertical="center"/>
    </xf>
    <xf borderId="18" fillId="0" fontId="4" numFmtId="0" xfId="0" applyAlignment="1" applyBorder="1" applyFont="1">
      <alignment horizontal="center" vertical="center"/>
    </xf>
    <xf borderId="24" fillId="3" fontId="4" numFmtId="10" xfId="0" applyAlignment="1" applyBorder="1" applyFont="1" applyNumberFormat="1">
      <alignment horizontal="center" vertical="center"/>
    </xf>
    <xf borderId="24" fillId="3" fontId="4" numFmtId="10" xfId="0" applyAlignment="1" applyBorder="1" applyFont="1" applyNumberFormat="1">
      <alignment horizontal="center" readingOrder="0" vertical="center"/>
    </xf>
    <xf borderId="24" fillId="0" fontId="4" numFmtId="10" xfId="0" applyAlignment="1" applyBorder="1" applyFont="1" applyNumberFormat="1">
      <alignment horizontal="center" vertical="center"/>
    </xf>
    <xf borderId="18" fillId="3" fontId="4" numFmtId="10" xfId="0" applyAlignment="1" applyBorder="1" applyFont="1" applyNumberFormat="1">
      <alignment horizontal="center" readingOrder="0"/>
    </xf>
    <xf borderId="24" fillId="0" fontId="4" numFmtId="10" xfId="0" applyBorder="1" applyFont="1" applyNumberFormat="1"/>
    <xf borderId="38" fillId="0" fontId="4" numFmtId="0" xfId="0" applyAlignment="1" applyBorder="1" applyFont="1">
      <alignment horizontal="center" vertical="center"/>
    </xf>
    <xf borderId="51" fillId="0" fontId="4" numFmtId="0" xfId="0" applyAlignment="1" applyBorder="1" applyFont="1">
      <alignment horizontal="right"/>
    </xf>
    <xf borderId="18" fillId="3" fontId="4" numFmtId="0" xfId="0" applyAlignment="1" applyBorder="1" applyFont="1">
      <alignment horizontal="center"/>
    </xf>
    <xf borderId="52" fillId="0" fontId="4" numFmtId="0" xfId="0" applyAlignment="1" applyBorder="1" applyFont="1">
      <alignment horizontal="left" vertical="center"/>
    </xf>
    <xf borderId="62" fillId="0" fontId="3" numFmtId="0" xfId="0" applyBorder="1" applyFont="1"/>
    <xf borderId="53" fillId="3" fontId="4" numFmtId="10" xfId="0" applyAlignment="1" applyBorder="1" applyFont="1" applyNumberFormat="1">
      <alignment horizontal="center" readingOrder="0" vertical="center"/>
    </xf>
    <xf borderId="18" fillId="0" fontId="4" numFmtId="0" xfId="0" applyAlignment="1" applyBorder="1" applyFont="1">
      <alignment horizontal="center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63" fillId="0" fontId="4" numFmtId="10" xfId="0" applyAlignment="1" applyBorder="1" applyFont="1" applyNumberFormat="1">
      <alignment vertical="center"/>
    </xf>
    <xf borderId="25" fillId="0" fontId="4" numFmtId="0" xfId="0" applyAlignment="1" applyBorder="1" applyFont="1">
      <alignment horizontal="left" vertical="center"/>
    </xf>
    <xf borderId="26" fillId="0" fontId="4" numFmtId="0" xfId="0" applyAlignment="1" applyBorder="1" applyFont="1">
      <alignment horizontal="left" vertical="center"/>
    </xf>
    <xf borderId="64" fillId="0" fontId="4" numFmtId="0" xfId="0" applyAlignment="1" applyBorder="1" applyFont="1">
      <alignment vertical="center"/>
    </xf>
    <xf borderId="65" fillId="6" fontId="5" numFmtId="0" xfId="0" applyAlignment="1" applyBorder="1" applyFont="1">
      <alignment shrinkToFit="0" vertical="center" wrapText="1"/>
    </xf>
    <xf borderId="66" fillId="6" fontId="4" numFmtId="0" xfId="0" applyAlignment="1" applyBorder="1" applyFont="1">
      <alignment vertical="center"/>
    </xf>
    <xf borderId="32" fillId="6" fontId="5" numFmtId="10" xfId="0" applyAlignment="1" applyBorder="1" applyFont="1" applyNumberFormat="1">
      <alignment horizontal="center" shrinkToFit="0" vertical="center" wrapText="1"/>
    </xf>
    <xf borderId="52" fillId="0" fontId="4" numFmtId="10" xfId="0" applyAlignment="1" applyBorder="1" applyFont="1" applyNumberFormat="1">
      <alignment horizontal="right"/>
    </xf>
    <xf borderId="20" fillId="0" fontId="4" numFmtId="10" xfId="0" applyAlignment="1" applyBorder="1" applyFont="1" applyNumberFormat="1">
      <alignment horizontal="right"/>
    </xf>
    <xf borderId="53" fillId="0" fontId="4" numFmtId="10" xfId="0" applyAlignment="1" applyBorder="1" applyFont="1" applyNumberFormat="1">
      <alignment horizontal="right"/>
    </xf>
    <xf borderId="0" fillId="0" fontId="4" numFmtId="0" xfId="0" applyAlignment="1" applyFont="1">
      <alignment horizontal="center"/>
    </xf>
    <xf borderId="9" fillId="9" fontId="6" numFmtId="0" xfId="0" applyAlignment="1" applyBorder="1" applyFont="1">
      <alignment horizontal="center" vertical="center"/>
    </xf>
    <xf borderId="51" fillId="0" fontId="17" numFmtId="0" xfId="0" applyAlignment="1" applyBorder="1" applyFont="1">
      <alignment horizontal="center" vertical="center"/>
    </xf>
    <xf borderId="18" fillId="10" fontId="17" numFmtId="0" xfId="0" applyAlignment="1" applyBorder="1" applyFill="1" applyFont="1">
      <alignment horizontal="center" vertical="center"/>
    </xf>
    <xf borderId="51" fillId="0" fontId="16" numFmtId="0" xfId="0" applyAlignment="1" applyBorder="1" applyFont="1">
      <alignment horizontal="center" vertical="center"/>
    </xf>
    <xf borderId="18" fillId="10" fontId="16" numFmtId="2" xfId="0" applyAlignment="1" applyBorder="1" applyFont="1" applyNumberFormat="1">
      <alignment horizontal="right" vertical="center"/>
    </xf>
    <xf borderId="52" fillId="0" fontId="16" numFmtId="0" xfId="0" applyAlignment="1" applyBorder="1" applyFont="1">
      <alignment horizontal="center" vertical="center"/>
    </xf>
    <xf borderId="20" fillId="10" fontId="16" numFmtId="2" xfId="0" applyAlignment="1" applyBorder="1" applyFont="1" applyNumberFormat="1">
      <alignment horizontal="right" vertical="center"/>
    </xf>
    <xf borderId="67" fillId="9" fontId="5" numFmtId="0" xfId="0" applyAlignment="1" applyBorder="1" applyFont="1">
      <alignment horizontal="center"/>
    </xf>
    <xf borderId="68" fillId="0" fontId="1" numFmtId="0" xfId="0" applyBorder="1" applyFont="1"/>
    <xf borderId="68" fillId="0" fontId="21" numFmtId="0" xfId="0" applyAlignment="1" applyBorder="1" applyFont="1">
      <alignment horizontal="left"/>
    </xf>
    <xf borderId="69" fillId="0" fontId="21" numFmtId="0" xfId="0" applyAlignment="1" applyBorder="1" applyFont="1">
      <alignment horizontal="left"/>
    </xf>
    <xf borderId="51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24" fillId="0" fontId="2" numFmtId="0" xfId="0" applyAlignment="1" applyBorder="1" applyFont="1">
      <alignment horizontal="center"/>
    </xf>
    <xf borderId="18" fillId="0" fontId="5" numFmtId="0" xfId="0" applyBorder="1" applyFont="1"/>
    <xf borderId="18" fillId="0" fontId="4" numFmtId="0" xfId="0" applyBorder="1" applyFont="1"/>
    <xf borderId="24" fillId="0" fontId="4" numFmtId="172" xfId="0" applyAlignment="1" applyBorder="1" applyFont="1" applyNumberFormat="1">
      <alignment horizontal="center" shrinkToFit="0" vertical="center" wrapText="1"/>
    </xf>
    <xf borderId="24" fillId="0" fontId="4" numFmtId="173" xfId="0" applyBorder="1" applyFont="1" applyNumberFormat="1"/>
    <xf borderId="24" fillId="0" fontId="4" numFmtId="2" xfId="0" applyBorder="1" applyFont="1" applyNumberFormat="1"/>
    <xf borderId="24" fillId="3" fontId="4" numFmtId="173" xfId="0" applyBorder="1" applyFont="1" applyNumberFormat="1"/>
    <xf borderId="24" fillId="3" fontId="4" numFmtId="174" xfId="0" applyBorder="1" applyFont="1" applyNumberFormat="1"/>
    <xf borderId="52" fillId="0" fontId="4" numFmtId="0" xfId="0" applyBorder="1" applyFont="1"/>
    <xf borderId="20" fillId="0" fontId="4" numFmtId="0" xfId="0" applyBorder="1" applyFont="1"/>
    <xf borderId="53" fillId="0" fontId="4" numFmtId="173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4</xdr:row>
      <xdr:rowOff>28575</xdr:rowOff>
    </xdr:from>
    <xdr:ext cx="1285875" cy="3619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9525</xdr:rowOff>
    </xdr:from>
    <xdr:ext cx="2038350" cy="371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6.75"/>
    <col customWidth="1" min="2" max="2" width="16.0"/>
    <col customWidth="1" min="3" max="3" width="11.88"/>
    <col customWidth="1" min="4" max="4" width="14.75"/>
    <col customWidth="1" min="5" max="5" width="15.38"/>
    <col customWidth="1" min="6" max="6" width="13.25"/>
    <col customWidth="1" min="7" max="7" width="16.75"/>
    <col customWidth="1" min="8" max="8" width="9.13"/>
    <col customWidth="1" min="9" max="9" width="14.63"/>
    <col customWidth="1" min="10" max="10" width="13.38"/>
    <col customWidth="1" min="11" max="26" width="9.13"/>
  </cols>
  <sheetData>
    <row r="1" ht="16.5" customHeight="1">
      <c r="A1" s="1"/>
      <c r="B1" s="2"/>
      <c r="C1" s="2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4" t="s">
        <v>0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1.75" customHeight="1">
      <c r="A3" s="9" t="s">
        <v>1</v>
      </c>
      <c r="B3" s="10"/>
      <c r="C3" s="10"/>
      <c r="D3" s="10"/>
      <c r="E3" s="10"/>
      <c r="F3" s="11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0.5" customHeight="1">
      <c r="A4" s="12"/>
      <c r="B4" s="2"/>
      <c r="C4" s="2"/>
      <c r="D4" s="3"/>
      <c r="E4" s="3"/>
      <c r="F4" s="1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4" t="s">
        <v>2</v>
      </c>
      <c r="B5" s="15"/>
      <c r="C5" s="15"/>
      <c r="D5" s="15"/>
      <c r="E5" s="15"/>
      <c r="F5" s="16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7" t="s">
        <v>3</v>
      </c>
      <c r="B6" s="18"/>
      <c r="C6" s="18"/>
      <c r="D6" s="19"/>
      <c r="E6" s="20" t="s">
        <v>4</v>
      </c>
      <c r="F6" s="21" t="s">
        <v>5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2" t="str">
        <f>A50</f>
        <v>1. Mão-de-obra</v>
      </c>
      <c r="B7" s="23"/>
      <c r="C7" s="23"/>
      <c r="D7" s="23"/>
      <c r="E7" s="24">
        <f>+F127</f>
        <v>118129.947</v>
      </c>
      <c r="F7" s="25">
        <f t="shared" ref="F7:F34" si="1">IFERROR(E7/$E$34,0)</f>
        <v>0.465072175</v>
      </c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15.0" customHeight="1">
      <c r="A8" s="28" t="str">
        <f>A52</f>
        <v>1.1. Coletor Turno Dia</v>
      </c>
      <c r="B8" s="29"/>
      <c r="C8" s="29"/>
      <c r="D8" s="29"/>
      <c r="E8" s="30">
        <f>F63</f>
        <v>68741.95213</v>
      </c>
      <c r="F8" s="25">
        <f t="shared" si="1"/>
        <v>0.2706339079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8" t="str">
        <f>A65</f>
        <v>1.2. Motorista Turno do Dia  SETCERGS - RS002281/2025 </v>
      </c>
      <c r="B9" s="29"/>
      <c r="C9" s="29"/>
      <c r="D9" s="29"/>
      <c r="E9" s="30">
        <f>F78</f>
        <v>29599.18304</v>
      </c>
      <c r="F9" s="25">
        <f t="shared" si="1"/>
        <v>0.116530624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8" t="str">
        <f>A80</f>
        <v>1.3. Gerente</v>
      </c>
      <c r="B10" s="29"/>
      <c r="C10" s="29"/>
      <c r="D10" s="29"/>
      <c r="E10" s="30">
        <f>F93</f>
        <v>9590.498925</v>
      </c>
      <c r="F10" s="25">
        <f t="shared" si="1"/>
        <v>0.03775735373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8" t="str">
        <f>A95</f>
        <v>1.5. Vale Transporte</v>
      </c>
      <c r="B11" s="29"/>
      <c r="C11" s="29"/>
      <c r="D11" s="29"/>
      <c r="E11" s="30">
        <f>F104</f>
        <v>2555.472877</v>
      </c>
      <c r="F11" s="25">
        <f t="shared" si="1"/>
        <v>0.01006077933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8" t="str">
        <f>A106</f>
        <v>1.6. Vale-refeição (diário)</v>
      </c>
      <c r="B12" s="29"/>
      <c r="C12" s="29"/>
      <c r="D12" s="29"/>
      <c r="E12" s="30">
        <f>F111</f>
        <v>6936.14</v>
      </c>
      <c r="F12" s="25">
        <f t="shared" si="1"/>
        <v>0.02730726457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8" t="str">
        <f>A113</f>
        <v>1.7. Auxílio Alimentação (mensal)</v>
      </c>
      <c r="B13" s="29"/>
      <c r="C13" s="29"/>
      <c r="D13" s="29"/>
      <c r="E13" s="30">
        <f>F118</f>
        <v>441.6</v>
      </c>
      <c r="F13" s="25">
        <f t="shared" si="1"/>
        <v>0.001738558915</v>
      </c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8" t="str">
        <f>A120</f>
        <v>1.8. Plano de Beneficio Social Familiar (mensal)</v>
      </c>
      <c r="B14" s="29"/>
      <c r="C14" s="29"/>
      <c r="D14" s="29"/>
      <c r="E14" s="30">
        <f>F125</f>
        <v>265.1</v>
      </c>
      <c r="F14" s="25">
        <f t="shared" si="1"/>
        <v>0.001043686523</v>
      </c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31" t="str">
        <f>A129</f>
        <v>2. Uniformes e Equipamentos de Proteção Individual</v>
      </c>
      <c r="B15" s="32"/>
      <c r="C15" s="32"/>
      <c r="D15" s="23"/>
      <c r="E15" s="24">
        <f>+F161</f>
        <v>2642.354167</v>
      </c>
      <c r="F15" s="25">
        <f t="shared" si="1"/>
        <v>0.01040282698</v>
      </c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5.0" customHeight="1">
      <c r="A16" s="31" t="str">
        <f>A163</f>
        <v>3. Veículos e Equipamentos</v>
      </c>
      <c r="B16" s="33"/>
      <c r="C16" s="23"/>
      <c r="D16" s="23"/>
      <c r="E16" s="24">
        <f>+F317</f>
        <v>72630.44543</v>
      </c>
      <c r="F16" s="25">
        <f t="shared" si="1"/>
        <v>0.2859427274</v>
      </c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15.0" customHeight="1">
      <c r="A17" s="34" t="str">
        <f>A165</f>
        <v>3.1. Veículo Coletor Compactador 12 m³</v>
      </c>
      <c r="B17" s="35"/>
      <c r="C17" s="29"/>
      <c r="D17" s="29"/>
      <c r="E17" s="30">
        <f>SUM(E18:E23)</f>
        <v>63533.51945</v>
      </c>
      <c r="F17" s="25">
        <f t="shared" si="1"/>
        <v>0.2501285477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36" t="s">
        <v>6</v>
      </c>
      <c r="B18" s="35"/>
      <c r="C18" s="29"/>
      <c r="D18" s="29"/>
      <c r="E18" s="30">
        <f>F181</f>
        <v>7414.230491</v>
      </c>
      <c r="F18" s="25">
        <f t="shared" si="1"/>
        <v>0.02918948488</v>
      </c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36" t="s">
        <v>7</v>
      </c>
      <c r="B19" s="35"/>
      <c r="C19" s="29"/>
      <c r="D19" s="29"/>
      <c r="E19" s="30">
        <f>F198</f>
        <v>9277.570622</v>
      </c>
      <c r="F19" s="25">
        <f t="shared" si="1"/>
        <v>0.03652536938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34" t="str">
        <f>A201</f>
        <v>3.1.3. Impostos e Seguros</v>
      </c>
      <c r="B20" s="35"/>
      <c r="C20" s="29"/>
      <c r="D20" s="29"/>
      <c r="E20" s="30">
        <f>F207</f>
        <v>1434.091675</v>
      </c>
      <c r="F20" s="25">
        <f t="shared" si="1"/>
        <v>0.00564595305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34" t="str">
        <f>A209</f>
        <v>3.1.4. Consumos</v>
      </c>
      <c r="B21" s="35"/>
      <c r="C21" s="29"/>
      <c r="D21" s="29"/>
      <c r="E21" s="30">
        <f>F227</f>
        <v>21506.66667</v>
      </c>
      <c r="F21" s="25">
        <f t="shared" si="1"/>
        <v>0.08467075877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34" t="str">
        <f>A229</f>
        <v>3.1.5. Manutenção</v>
      </c>
      <c r="B22" s="35"/>
      <c r="C22" s="29"/>
      <c r="D22" s="29"/>
      <c r="E22" s="30">
        <f>F232</f>
        <v>20000</v>
      </c>
      <c r="F22" s="25">
        <f t="shared" si="1"/>
        <v>0.07873908131</v>
      </c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34" t="str">
        <f>A234</f>
        <v>3.1.6. Pneus</v>
      </c>
      <c r="B23" s="35"/>
      <c r="C23" s="29"/>
      <c r="D23" s="29"/>
      <c r="E23" s="30">
        <f>F241</f>
        <v>3900.96</v>
      </c>
      <c r="F23" s="25">
        <f t="shared" si="1"/>
        <v>0.01535790033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34" t="str">
        <f>A243</f>
        <v>3.2. Veículo picape 4x2</v>
      </c>
      <c r="B24" s="35"/>
      <c r="C24" s="29"/>
      <c r="D24" s="29"/>
      <c r="E24" s="30">
        <f>SUM(E25:E30)</f>
        <v>9096.925975</v>
      </c>
      <c r="F24" s="25">
        <f t="shared" si="1"/>
        <v>0.0358141797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36" t="s">
        <v>6</v>
      </c>
      <c r="B25" s="35"/>
      <c r="C25" s="29"/>
      <c r="D25" s="29"/>
      <c r="E25" s="30">
        <f>F259</f>
        <v>937.0530079</v>
      </c>
      <c r="F25" s="25">
        <f t="shared" si="1"/>
        <v>0.003689134649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36" t="s">
        <v>7</v>
      </c>
      <c r="B26" s="35"/>
      <c r="C26" s="29"/>
      <c r="D26" s="29"/>
      <c r="E26" s="30">
        <f>F275</f>
        <v>1102.273654</v>
      </c>
      <c r="F26" s="25">
        <f t="shared" si="1"/>
        <v>0.004339600742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34" t="str">
        <f>A277</f>
        <v>3.2.3. Impostos e Seguros</v>
      </c>
      <c r="B27" s="35"/>
      <c r="C27" s="29"/>
      <c r="D27" s="29"/>
      <c r="E27" s="30">
        <f>F283</f>
        <v>821.8833333</v>
      </c>
      <c r="F27" s="25">
        <f t="shared" si="1"/>
        <v>0.003235716931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34" t="str">
        <f>A285</f>
        <v>3.2.4. Consumos</v>
      </c>
      <c r="B28" s="35"/>
      <c r="C28" s="29"/>
      <c r="D28" s="29"/>
      <c r="E28" s="30">
        <f>F301</f>
        <v>1644.5</v>
      </c>
      <c r="F28" s="25">
        <f t="shared" si="1"/>
        <v>0.006474320961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34" t="str">
        <f>A303</f>
        <v>3.2.5. Manutenção</v>
      </c>
      <c r="B29" s="35"/>
      <c r="C29" s="29"/>
      <c r="D29" s="29"/>
      <c r="E29" s="30">
        <f>F306</f>
        <v>4362.41598</v>
      </c>
      <c r="F29" s="25">
        <f t="shared" si="1"/>
        <v>0.01717463133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34" t="str">
        <f>A308</f>
        <v>3.2.6. Pneus</v>
      </c>
      <c r="B30" s="35"/>
      <c r="C30" s="29"/>
      <c r="D30" s="29"/>
      <c r="E30" s="30">
        <f>F315</f>
        <v>228.8</v>
      </c>
      <c r="F30" s="25">
        <f t="shared" si="1"/>
        <v>0.0009007750902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31" t="str">
        <f>A319</f>
        <v>4. Ferramentas e Materiais de Consumo</v>
      </c>
      <c r="B31" s="33"/>
      <c r="C31" s="23"/>
      <c r="D31" s="23"/>
      <c r="E31" s="24">
        <f>+F329</f>
        <v>72.26666667</v>
      </c>
      <c r="F31" s="25">
        <f t="shared" si="1"/>
        <v>0.0002845105471</v>
      </c>
      <c r="G31" s="26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0" customHeight="1">
      <c r="A32" s="31" t="str">
        <f>A331</f>
        <v>5. Monitoramento da Frota</v>
      </c>
      <c r="B32" s="33"/>
      <c r="C32" s="23"/>
      <c r="D32" s="23"/>
      <c r="E32" s="24">
        <f>+F340</f>
        <v>332</v>
      </c>
      <c r="F32" s="25">
        <f t="shared" si="1"/>
        <v>0.00130706875</v>
      </c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0" customHeight="1">
      <c r="A33" s="31" t="str">
        <f>A344</f>
        <v>6. Benefícios e Despesas Indiretas - BDI</v>
      </c>
      <c r="B33" s="33"/>
      <c r="C33" s="23"/>
      <c r="D33" s="23"/>
      <c r="E33" s="37">
        <f>+F350</f>
        <v>60196.45831</v>
      </c>
      <c r="F33" s="25">
        <f t="shared" si="1"/>
        <v>0.2369906913</v>
      </c>
      <c r="G33" s="2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0" customHeight="1">
      <c r="A34" s="38" t="s">
        <v>8</v>
      </c>
      <c r="B34" s="39"/>
      <c r="C34" s="40"/>
      <c r="D34" s="40"/>
      <c r="E34" s="41">
        <f>E7+E15+E16+E31+E32+E33</f>
        <v>254003.4716</v>
      </c>
      <c r="F34" s="25">
        <f t="shared" si="1"/>
        <v>1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"/>
      <c r="C35" s="1"/>
      <c r="D35" s="3"/>
      <c r="E35" s="3"/>
      <c r="F35" s="3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1"/>
      <c r="D36" s="3"/>
      <c r="E36" s="3"/>
      <c r="F36" s="3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4" t="s">
        <v>9</v>
      </c>
      <c r="B37" s="15"/>
      <c r="C37" s="15"/>
      <c r="D37" s="15"/>
      <c r="E37" s="16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42" t="s">
        <v>10</v>
      </c>
      <c r="B38" s="15"/>
      <c r="C38" s="15"/>
      <c r="D38" s="43"/>
      <c r="E38" s="44" t="s">
        <v>11</v>
      </c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45" t="str">
        <f>+A52</f>
        <v>1.1. Coletor Turno Dia</v>
      </c>
      <c r="B39" s="18"/>
      <c r="C39" s="18"/>
      <c r="D39" s="46"/>
      <c r="E39" s="47">
        <v>10.0</v>
      </c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28" t="str">
        <f>+A65</f>
        <v>1.2. Motorista Turno do Dia  SETCERGS - RS002281/2025 </v>
      </c>
      <c r="B40" s="29"/>
      <c r="C40" s="29"/>
      <c r="D40" s="48"/>
      <c r="E40" s="49">
        <v>4.0</v>
      </c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28" t="str">
        <f>+A80</f>
        <v>1.3. Gerente</v>
      </c>
      <c r="B41" s="29"/>
      <c r="C41" s="29"/>
      <c r="D41" s="48"/>
      <c r="E41" s="49">
        <f>C72</f>
        <v>1</v>
      </c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50" t="s">
        <v>12</v>
      </c>
      <c r="B42" s="51"/>
      <c r="C42" s="51"/>
      <c r="D42" s="52"/>
      <c r="E42" s="53">
        <f>SUM(E39:E41)</f>
        <v>15</v>
      </c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54"/>
      <c r="B43" s="55"/>
      <c r="C43" s="3"/>
      <c r="D43" s="3"/>
      <c r="E43" s="1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56" t="s">
        <v>13</v>
      </c>
      <c r="B44" s="57"/>
      <c r="C44" s="57"/>
      <c r="D44" s="58"/>
      <c r="E44" s="44" t="s">
        <v>11</v>
      </c>
      <c r="F44" s="1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59" t="str">
        <f>+A165</f>
        <v>3.1. Veículo Coletor Compactador 12 m³</v>
      </c>
      <c r="B45" s="29"/>
      <c r="C45" s="29"/>
      <c r="D45" s="48"/>
      <c r="E45" s="60">
        <v>3.0</v>
      </c>
      <c r="F45" s="1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59" t="str">
        <f>+A243</f>
        <v>3.2. Veículo picape 4x2</v>
      </c>
      <c r="B46" s="29"/>
      <c r="C46" s="29"/>
      <c r="D46" s="48"/>
      <c r="E46" s="60">
        <f>+C258</f>
        <v>1.1</v>
      </c>
      <c r="F46" s="1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3"/>
      <c r="B47" s="3"/>
      <c r="C47" s="3"/>
      <c r="D47" s="1"/>
      <c r="E47" s="6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62" t="s">
        <v>14</v>
      </c>
      <c r="B48" s="63">
        <v>1.0</v>
      </c>
      <c r="C48" s="26"/>
      <c r="D48" s="27"/>
      <c r="E48" s="64"/>
      <c r="F48" s="27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0" customHeight="1">
      <c r="A49" s="3"/>
      <c r="B49" s="3"/>
      <c r="C49" s="3"/>
      <c r="D49" s="1"/>
      <c r="E49" s="61"/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27" t="s">
        <v>15</v>
      </c>
      <c r="B50" s="1"/>
      <c r="C50" s="1"/>
      <c r="D50" s="3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1"/>
      <c r="C51" s="1"/>
      <c r="D51" s="3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 t="s">
        <v>16</v>
      </c>
      <c r="B52" s="1"/>
      <c r="C52" s="1"/>
      <c r="D52" s="3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65" t="s">
        <v>17</v>
      </c>
      <c r="B53" s="66" t="s">
        <v>18</v>
      </c>
      <c r="C53" s="66" t="s">
        <v>11</v>
      </c>
      <c r="D53" s="67" t="s">
        <v>19</v>
      </c>
      <c r="E53" s="67" t="s">
        <v>20</v>
      </c>
      <c r="F53" s="68" t="s">
        <v>21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69" t="s">
        <v>22</v>
      </c>
      <c r="B54" s="70" t="s">
        <v>23</v>
      </c>
      <c r="C54" s="70">
        <v>1.0</v>
      </c>
      <c r="D54" s="71">
        <v>1949.91</v>
      </c>
      <c r="E54" s="72">
        <f t="shared" ref="E54:E56" si="2">C54*D54</f>
        <v>1949.91</v>
      </c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73" t="s">
        <v>24</v>
      </c>
      <c r="B55" s="74" t="s">
        <v>25</v>
      </c>
      <c r="C55" s="75">
        <v>7.33</v>
      </c>
      <c r="D55" s="76">
        <f>D54/220*2</f>
        <v>17.72645455</v>
      </c>
      <c r="E55" s="76">
        <f t="shared" si="2"/>
        <v>129.9349118</v>
      </c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73" t="s">
        <v>26</v>
      </c>
      <c r="B56" s="74" t="s">
        <v>25</v>
      </c>
      <c r="C56" s="75">
        <v>48.0</v>
      </c>
      <c r="D56" s="76">
        <f>D54/220*1.5</f>
        <v>13.29484091</v>
      </c>
      <c r="E56" s="76">
        <f t="shared" si="2"/>
        <v>638.1523636</v>
      </c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73" t="s">
        <v>27</v>
      </c>
      <c r="B57" s="74" t="s">
        <v>28</v>
      </c>
      <c r="C57" s="1"/>
      <c r="D57" s="76">
        <f>63/302*(SUM(E55:E56))</f>
        <v>160.230127</v>
      </c>
      <c r="E57" s="76">
        <f>D57</f>
        <v>160.230127</v>
      </c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73" t="s">
        <v>29</v>
      </c>
      <c r="B58" s="74" t="s">
        <v>5</v>
      </c>
      <c r="C58" s="74">
        <v>40.0</v>
      </c>
      <c r="D58" s="76">
        <f>SUM(E54:E57)</f>
        <v>2878.227402</v>
      </c>
      <c r="E58" s="76">
        <f>C58*D58/100</f>
        <v>1151.290961</v>
      </c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77" t="s">
        <v>30</v>
      </c>
      <c r="B59" s="78"/>
      <c r="C59" s="78"/>
      <c r="D59" s="79"/>
      <c r="E59" s="80">
        <f>SUM(E54:E58)</f>
        <v>4029.518363</v>
      </c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73" t="s">
        <v>31</v>
      </c>
      <c r="B60" s="74" t="s">
        <v>5</v>
      </c>
      <c r="C60" s="81">
        <f>'2.Encargos Sociais'!C34*100</f>
        <v>70.595952</v>
      </c>
      <c r="D60" s="76">
        <f>E59</f>
        <v>4029.518363</v>
      </c>
      <c r="E60" s="76">
        <f>D60*C60/100</f>
        <v>2844.67685</v>
      </c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77" t="s">
        <v>32</v>
      </c>
      <c r="B61" s="78"/>
      <c r="C61" s="78"/>
      <c r="D61" s="79"/>
      <c r="E61" s="80">
        <f>E59+E60</f>
        <v>6874.195213</v>
      </c>
      <c r="F61" s="3"/>
      <c r="G61" s="3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5.0" customHeight="1">
      <c r="A62" s="73" t="s">
        <v>33</v>
      </c>
      <c r="B62" s="74" t="s">
        <v>34</v>
      </c>
      <c r="C62" s="83">
        <v>10.0</v>
      </c>
      <c r="D62" s="76">
        <f>E61</f>
        <v>6874.195213</v>
      </c>
      <c r="E62" s="76">
        <f>C62*D62</f>
        <v>68741.95213</v>
      </c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1"/>
      <c r="C63" s="1"/>
      <c r="D63" s="84" t="s">
        <v>35</v>
      </c>
      <c r="E63" s="85">
        <f>$B$48</f>
        <v>1</v>
      </c>
      <c r="F63" s="86">
        <f>E62*E63</f>
        <v>68741.95213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1"/>
      <c r="C64" s="1"/>
      <c r="D64" s="3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87" t="s">
        <v>36</v>
      </c>
      <c r="B65" s="1"/>
      <c r="C65" s="1"/>
      <c r="D65" s="3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65" t="s">
        <v>17</v>
      </c>
      <c r="B66" s="66" t="s">
        <v>18</v>
      </c>
      <c r="C66" s="66" t="s">
        <v>11</v>
      </c>
      <c r="D66" s="67" t="s">
        <v>19</v>
      </c>
      <c r="E66" s="67" t="s">
        <v>20</v>
      </c>
      <c r="F66" s="68" t="s">
        <v>37</v>
      </c>
      <c r="G66" s="2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0" customHeight="1">
      <c r="A67" s="69" t="s">
        <v>38</v>
      </c>
      <c r="B67" s="70" t="s">
        <v>23</v>
      </c>
      <c r="C67" s="70">
        <v>1.0</v>
      </c>
      <c r="D67" s="71">
        <v>2331.4</v>
      </c>
      <c r="E67" s="72">
        <f>C67*D67</f>
        <v>2331.4</v>
      </c>
      <c r="F67" s="3"/>
      <c r="G67" s="8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69" t="s">
        <v>39</v>
      </c>
      <c r="B68" s="70" t="s">
        <v>23</v>
      </c>
      <c r="C68" s="70">
        <v>1.0</v>
      </c>
      <c r="D68" s="71">
        <v>1518.0</v>
      </c>
      <c r="E68" s="72"/>
      <c r="F68" s="3"/>
      <c r="G68" s="2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0" customHeight="1">
      <c r="A69" s="73" t="s">
        <v>24</v>
      </c>
      <c r="B69" s="74" t="s">
        <v>25</v>
      </c>
      <c r="C69" s="75">
        <v>7.33</v>
      </c>
      <c r="D69" s="76">
        <f>D67/220*2</f>
        <v>21.19454545</v>
      </c>
      <c r="E69" s="76">
        <f t="shared" ref="E69:E70" si="3">C69*D69</f>
        <v>155.3560182</v>
      </c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73" t="s">
        <v>26</v>
      </c>
      <c r="B70" s="74" t="s">
        <v>25</v>
      </c>
      <c r="C70" s="75">
        <v>48.0</v>
      </c>
      <c r="D70" s="76">
        <f>D67/220*1.5</f>
        <v>15.89590909</v>
      </c>
      <c r="E70" s="76">
        <f t="shared" si="3"/>
        <v>763.0036364</v>
      </c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73" t="s">
        <v>27</v>
      </c>
      <c r="B71" s="74" t="s">
        <v>28</v>
      </c>
      <c r="C71" s="1"/>
      <c r="D71" s="76">
        <f>63/302*(SUM(E69:E70))</f>
        <v>191.5783385</v>
      </c>
      <c r="E71" s="76">
        <f>D71</f>
        <v>191.5783385</v>
      </c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73" t="s">
        <v>40</v>
      </c>
      <c r="B72" s="74"/>
      <c r="C72" s="89">
        <v>1.0</v>
      </c>
      <c r="D72" s="76"/>
      <c r="E72" s="76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73" t="s">
        <v>29</v>
      </c>
      <c r="B73" s="74" t="s">
        <v>5</v>
      </c>
      <c r="C73" s="83">
        <v>40.0</v>
      </c>
      <c r="D73" s="76">
        <f>IF(C72=2,SUM(E67:E71),IF(C72=1,(SUM(E67:E71))*D68/D67,0))</f>
        <v>2240.692748</v>
      </c>
      <c r="E73" s="76">
        <f>C73*D73/100</f>
        <v>896.2770993</v>
      </c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90" t="s">
        <v>30</v>
      </c>
      <c r="B74" s="78"/>
      <c r="C74" s="78"/>
      <c r="D74" s="79"/>
      <c r="E74" s="91">
        <f>SUM(E67:E73)</f>
        <v>4337.615092</v>
      </c>
      <c r="F74" s="26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73" t="s">
        <v>31</v>
      </c>
      <c r="B75" s="74" t="s">
        <v>5</v>
      </c>
      <c r="C75" s="81">
        <f>C60</f>
        <v>70.595952</v>
      </c>
      <c r="D75" s="76">
        <f>E74</f>
        <v>4337.615092</v>
      </c>
      <c r="E75" s="76">
        <f>D75*C75/100</f>
        <v>3062.180669</v>
      </c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90" t="s">
        <v>41</v>
      </c>
      <c r="B76" s="92"/>
      <c r="C76" s="92"/>
      <c r="D76" s="93"/>
      <c r="E76" s="91">
        <f>E74+E75</f>
        <v>7399.795761</v>
      </c>
      <c r="F76" s="26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73" t="s">
        <v>33</v>
      </c>
      <c r="B77" s="74" t="s">
        <v>34</v>
      </c>
      <c r="C77" s="83">
        <v>4.0</v>
      </c>
      <c r="D77" s="76">
        <f>E76</f>
        <v>7399.795761</v>
      </c>
      <c r="E77" s="76">
        <f>C77*D77</f>
        <v>29599.18304</v>
      </c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1"/>
      <c r="C78" s="1"/>
      <c r="D78" s="84" t="s">
        <v>35</v>
      </c>
      <c r="E78" s="85">
        <f>$B$48</f>
        <v>1</v>
      </c>
      <c r="F78" s="86">
        <f>E77*E78</f>
        <v>29599.18304</v>
      </c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0" customHeight="1">
      <c r="A79" s="1"/>
      <c r="B79" s="1"/>
      <c r="C79" s="1"/>
      <c r="D79" s="3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" t="s">
        <v>42</v>
      </c>
      <c r="B80" s="1"/>
      <c r="C80" s="1"/>
      <c r="D80" s="3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65" t="s">
        <v>17</v>
      </c>
      <c r="B81" s="66" t="s">
        <v>18</v>
      </c>
      <c r="C81" s="66" t="s">
        <v>11</v>
      </c>
      <c r="D81" s="67" t="s">
        <v>19</v>
      </c>
      <c r="E81" s="67" t="s">
        <v>20</v>
      </c>
      <c r="F81" s="68" t="s">
        <v>43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69" t="s">
        <v>38</v>
      </c>
      <c r="B82" s="70" t="s">
        <v>23</v>
      </c>
      <c r="C82" s="70">
        <v>1.0</v>
      </c>
      <c r="D82" s="71">
        <v>3201.37</v>
      </c>
      <c r="E82" s="72">
        <f>C82*D82</f>
        <v>3201.37</v>
      </c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69" t="s">
        <v>39</v>
      </c>
      <c r="B83" s="70" t="s">
        <v>23</v>
      </c>
      <c r="C83" s="70">
        <v>1.0</v>
      </c>
      <c r="D83" s="71">
        <v>1518.0</v>
      </c>
      <c r="E83" s="72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73" t="s">
        <v>24</v>
      </c>
      <c r="B84" s="74" t="s">
        <v>25</v>
      </c>
      <c r="C84" s="75">
        <v>7.33</v>
      </c>
      <c r="D84" s="76">
        <f>D82/220*2</f>
        <v>29.10336364</v>
      </c>
      <c r="E84" s="76">
        <f t="shared" ref="E84:E85" si="4">C84*D84</f>
        <v>213.3276555</v>
      </c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73" t="s">
        <v>26</v>
      </c>
      <c r="B85" s="74" t="s">
        <v>25</v>
      </c>
      <c r="C85" s="75">
        <v>48.0</v>
      </c>
      <c r="D85" s="76">
        <f>D82/220*1.5</f>
        <v>21.82752273</v>
      </c>
      <c r="E85" s="76">
        <f t="shared" si="4"/>
        <v>1047.721091</v>
      </c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73" t="s">
        <v>27</v>
      </c>
      <c r="B86" s="74" t="s">
        <v>28</v>
      </c>
      <c r="C86" s="1"/>
      <c r="D86" s="76">
        <f>63/302*(SUM(E84:E85))</f>
        <v>263.0664603</v>
      </c>
      <c r="E86" s="76">
        <f>D86</f>
        <v>263.0664603</v>
      </c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73" t="s">
        <v>40</v>
      </c>
      <c r="B87" s="74"/>
      <c r="C87" s="89">
        <v>1.0</v>
      </c>
      <c r="D87" s="76"/>
      <c r="E87" s="76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0" customHeight="1">
      <c r="A88" s="73" t="s">
        <v>29</v>
      </c>
      <c r="B88" s="74" t="s">
        <v>5</v>
      </c>
      <c r="C88" s="83">
        <v>40.0</v>
      </c>
      <c r="D88" s="76">
        <f>IF(C87=2,SUM(E82:E86),IF(C87=1,(SUM(E82:E86))*D83/D82,0))</f>
        <v>2240.692748</v>
      </c>
      <c r="E88" s="76">
        <f>C88*D88/100</f>
        <v>896.2770993</v>
      </c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0" customHeight="1">
      <c r="A89" s="90" t="s">
        <v>30</v>
      </c>
      <c r="B89" s="78"/>
      <c r="C89" s="78"/>
      <c r="D89" s="79"/>
      <c r="E89" s="91">
        <f>SUM(E82:E88)</f>
        <v>5621.762306</v>
      </c>
      <c r="F89" s="2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0" customHeight="1">
      <c r="A90" s="73" t="s">
        <v>31</v>
      </c>
      <c r="B90" s="74" t="s">
        <v>5</v>
      </c>
      <c r="C90" s="81">
        <f>C75</f>
        <v>70.595952</v>
      </c>
      <c r="D90" s="76">
        <f>E89</f>
        <v>5621.762306</v>
      </c>
      <c r="E90" s="76">
        <f>D90*C90/100</f>
        <v>3968.736619</v>
      </c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0" customHeight="1">
      <c r="A91" s="90" t="s">
        <v>44</v>
      </c>
      <c r="B91" s="92"/>
      <c r="C91" s="92"/>
      <c r="D91" s="93"/>
      <c r="E91" s="91">
        <f>E89+E90</f>
        <v>9590.498925</v>
      </c>
      <c r="F91" s="2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0" customHeight="1">
      <c r="A92" s="73" t="s">
        <v>33</v>
      </c>
      <c r="B92" s="74" t="s">
        <v>34</v>
      </c>
      <c r="C92" s="83">
        <v>1.0</v>
      </c>
      <c r="D92" s="76">
        <f>E91</f>
        <v>9590.498925</v>
      </c>
      <c r="E92" s="76">
        <f>C92*D92</f>
        <v>9590.498925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0" customHeight="1">
      <c r="A93" s="1"/>
      <c r="B93" s="1"/>
      <c r="C93" s="1"/>
      <c r="D93" s="84" t="s">
        <v>35</v>
      </c>
      <c r="E93" s="85">
        <f>$B$48</f>
        <v>1</v>
      </c>
      <c r="F93" s="86">
        <f>E92*E93</f>
        <v>9590.498925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0" customHeight="1">
      <c r="A94" s="1"/>
      <c r="B94" s="1"/>
      <c r="C94" s="1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0" customHeight="1">
      <c r="A95" s="1" t="s">
        <v>45</v>
      </c>
      <c r="B95" s="94"/>
      <c r="C95" s="1"/>
      <c r="D95" s="1"/>
      <c r="E95" s="1"/>
      <c r="F95" s="3"/>
      <c r="G95" s="3"/>
      <c r="H95" s="1"/>
      <c r="I95" s="95"/>
      <c r="J95" s="9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0" customHeight="1">
      <c r="A96" s="65" t="s">
        <v>17</v>
      </c>
      <c r="B96" s="66" t="s">
        <v>18</v>
      </c>
      <c r="C96" s="66" t="s">
        <v>11</v>
      </c>
      <c r="D96" s="67" t="s">
        <v>19</v>
      </c>
      <c r="E96" s="67" t="s">
        <v>20</v>
      </c>
      <c r="F96" s="68" t="s">
        <v>46</v>
      </c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0" customHeight="1">
      <c r="A97" s="73" t="s">
        <v>47</v>
      </c>
      <c r="B97" s="74" t="s">
        <v>28</v>
      </c>
      <c r="C97" s="96">
        <v>1.0</v>
      </c>
      <c r="D97" s="97">
        <v>6.0</v>
      </c>
      <c r="E97" s="76"/>
      <c r="F97" s="3"/>
      <c r="G97" s="3"/>
      <c r="H97" s="9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0" customHeight="1">
      <c r="A98" s="73" t="s">
        <v>48</v>
      </c>
      <c r="B98" s="74" t="s">
        <v>49</v>
      </c>
      <c r="C98" s="98">
        <v>24.0</v>
      </c>
      <c r="D98" s="76"/>
      <c r="E98" s="76"/>
      <c r="F98" s="3"/>
      <c r="G98" s="9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0" customHeight="1">
      <c r="A99" s="73" t="s">
        <v>50</v>
      </c>
      <c r="B99" s="74" t="s">
        <v>51</v>
      </c>
      <c r="C99" s="99">
        <f>$C$98*2*(C62)</f>
        <v>480</v>
      </c>
      <c r="D99" s="72">
        <f>IFERROR((($C$98*2*$D$97)-(E54*0.06*C98/26))/($C$98*2),"-")</f>
        <v>3.750103846</v>
      </c>
      <c r="E99" s="76">
        <f>IFERROR(C99*D99,"-")</f>
        <v>1800.049846</v>
      </c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0" customHeight="1">
      <c r="A100" s="73" t="s">
        <v>48</v>
      </c>
      <c r="B100" s="74" t="s">
        <v>49</v>
      </c>
      <c r="C100" s="98">
        <v>24.0</v>
      </c>
      <c r="D100" s="72"/>
      <c r="E100" s="72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0" customHeight="1">
      <c r="A101" s="69" t="s">
        <v>52</v>
      </c>
      <c r="B101" s="70" t="s">
        <v>51</v>
      </c>
      <c r="C101" s="99">
        <f>$C$100*2*C77</f>
        <v>192</v>
      </c>
      <c r="D101" s="72">
        <f>IFERROR((($C$100*2*$D$97)-(E67*0.06*C100/26))/($C$100*2),"-")</f>
        <v>3.309923077</v>
      </c>
      <c r="E101" s="72">
        <f>IFERROR(C101*D101,"-")</f>
        <v>635.5052308</v>
      </c>
      <c r="F101" s="3"/>
      <c r="G101" s="3"/>
      <c r="H101" s="1"/>
      <c r="I101" s="95"/>
      <c r="J101" s="9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0" customHeight="1">
      <c r="A102" s="73" t="s">
        <v>48</v>
      </c>
      <c r="B102" s="74" t="s">
        <v>49</v>
      </c>
      <c r="C102" s="98">
        <v>26.0</v>
      </c>
      <c r="D102" s="72"/>
      <c r="E102" s="72"/>
      <c r="F102" s="3"/>
      <c r="G102" s="3"/>
      <c r="H102" s="1"/>
      <c r="I102" s="95"/>
      <c r="J102" s="9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0" customHeight="1">
      <c r="A103" s="69" t="s">
        <v>53</v>
      </c>
      <c r="B103" s="70" t="s">
        <v>51</v>
      </c>
      <c r="C103" s="99">
        <f>$C$102*2*C92</f>
        <v>52</v>
      </c>
      <c r="D103" s="72">
        <f>IFERROR((($C$102*2*$D$97)-(E82*0.06*C102/26))/($C$102*2),"-")</f>
        <v>2.306111538</v>
      </c>
      <c r="E103" s="72">
        <f>IFERROR(C103*D103,"-")</f>
        <v>119.9178</v>
      </c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0" customHeight="1">
      <c r="A104" s="100" t="s">
        <v>54</v>
      </c>
      <c r="B104" s="101"/>
      <c r="C104" s="101"/>
      <c r="D104" s="101"/>
      <c r="E104" s="102"/>
      <c r="F104" s="103">
        <f>SUM(E99:E103)</f>
        <v>2555.472877</v>
      </c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0" customHeight="1">
      <c r="A105" s="1"/>
      <c r="B105" s="1"/>
      <c r="C105" s="1"/>
      <c r="D105" s="3"/>
      <c r="E105" s="3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0" customHeight="1">
      <c r="A106" s="1" t="s">
        <v>55</v>
      </c>
      <c r="B106" s="1"/>
      <c r="C106" s="1"/>
      <c r="D106" s="3"/>
      <c r="E106" s="3"/>
      <c r="F106" s="26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0" customHeight="1">
      <c r="A107" s="65" t="s">
        <v>17</v>
      </c>
      <c r="B107" s="66" t="s">
        <v>18</v>
      </c>
      <c r="C107" s="66" t="s">
        <v>11</v>
      </c>
      <c r="D107" s="67" t="s">
        <v>19</v>
      </c>
      <c r="E107" s="67" t="s">
        <v>20</v>
      </c>
      <c r="F107" s="68" t="s">
        <v>56</v>
      </c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0" customHeight="1">
      <c r="A108" s="73" t="str">
        <f>+A99</f>
        <v>Coletor</v>
      </c>
      <c r="B108" s="74" t="s">
        <v>57</v>
      </c>
      <c r="C108" s="99">
        <f>C98*(E39)</f>
        <v>240</v>
      </c>
      <c r="D108" s="104">
        <v>20.59</v>
      </c>
      <c r="E108" s="85">
        <f t="shared" ref="E108:E110" si="5">C108*D108</f>
        <v>4941.6</v>
      </c>
      <c r="F108" s="26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0" customHeight="1">
      <c r="A109" s="73" t="str">
        <f>+A101</f>
        <v>Motorista</v>
      </c>
      <c r="B109" s="74" t="s">
        <v>57</v>
      </c>
      <c r="C109" s="99">
        <f>C98*(E40)</f>
        <v>96</v>
      </c>
      <c r="D109" s="104">
        <v>15.2</v>
      </c>
      <c r="E109" s="85">
        <f t="shared" si="5"/>
        <v>1459.2</v>
      </c>
      <c r="F109" s="26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0" customHeight="1">
      <c r="A110" s="73" t="str">
        <f>+A103</f>
        <v>Gerente</v>
      </c>
      <c r="B110" s="74" t="s">
        <v>57</v>
      </c>
      <c r="C110" s="99">
        <f>C102*(E41)</f>
        <v>26</v>
      </c>
      <c r="D110" s="104">
        <v>20.59</v>
      </c>
      <c r="E110" s="85">
        <f t="shared" si="5"/>
        <v>535.34</v>
      </c>
      <c r="F110" s="26"/>
      <c r="G110" s="3"/>
      <c r="H110" s="1"/>
      <c r="I110" s="95"/>
      <c r="J110" s="9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0" customHeight="1">
      <c r="A111" s="1"/>
      <c r="B111" s="1"/>
      <c r="C111" s="1"/>
      <c r="D111" s="3"/>
      <c r="E111" s="3"/>
      <c r="F111" s="103">
        <f>SUM(E108:E110)</f>
        <v>6936.14</v>
      </c>
      <c r="G111" s="3"/>
      <c r="H111" s="1"/>
      <c r="I111" s="95"/>
      <c r="J111" s="9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0" customHeight="1">
      <c r="A112" s="1"/>
      <c r="B112" s="1"/>
      <c r="C112" s="1"/>
      <c r="D112" s="3"/>
      <c r="E112" s="3"/>
      <c r="F112" s="3"/>
      <c r="G112" s="3"/>
      <c r="H112" s="1"/>
      <c r="I112" s="95"/>
      <c r="J112" s="9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0" customHeight="1">
      <c r="A113" s="1" t="s">
        <v>58</v>
      </c>
      <c r="B113" s="1"/>
      <c r="C113" s="1"/>
      <c r="D113" s="3"/>
      <c r="E113" s="3"/>
      <c r="F113" s="26"/>
      <c r="G113" s="3"/>
      <c r="H113" s="1"/>
      <c r="I113" s="95"/>
      <c r="J113" s="9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0" customHeight="1">
      <c r="A114" s="65" t="s">
        <v>17</v>
      </c>
      <c r="B114" s="66" t="s">
        <v>18</v>
      </c>
      <c r="C114" s="66" t="s">
        <v>11</v>
      </c>
      <c r="D114" s="67" t="s">
        <v>19</v>
      </c>
      <c r="E114" s="67" t="s">
        <v>20</v>
      </c>
      <c r="F114" s="68" t="s">
        <v>59</v>
      </c>
      <c r="G114" s="3"/>
      <c r="H114" s="1"/>
      <c r="I114" s="95"/>
      <c r="J114" s="9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0" customHeight="1">
      <c r="A115" s="73" t="str">
        <f t="shared" ref="A115:A117" si="6">+A108</f>
        <v>Coletor</v>
      </c>
      <c r="B115" s="74" t="s">
        <v>57</v>
      </c>
      <c r="C115" s="99">
        <f t="shared" ref="C115:C117" si="7">E39</f>
        <v>10</v>
      </c>
      <c r="D115" s="104">
        <v>0.0</v>
      </c>
      <c r="E115" s="85">
        <f t="shared" ref="E115:E117" si="8">C115*D115</f>
        <v>0</v>
      </c>
      <c r="F115" s="26"/>
      <c r="G115" s="3"/>
      <c r="H115" s="1"/>
      <c r="I115" s="95"/>
      <c r="J115" s="9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0" customHeight="1">
      <c r="A116" s="73" t="str">
        <f t="shared" si="6"/>
        <v>Motorista</v>
      </c>
      <c r="B116" s="74" t="s">
        <v>57</v>
      </c>
      <c r="C116" s="99">
        <f t="shared" si="7"/>
        <v>4</v>
      </c>
      <c r="D116" s="104">
        <v>110.4</v>
      </c>
      <c r="E116" s="85">
        <f t="shared" si="8"/>
        <v>441.6</v>
      </c>
      <c r="F116" s="26"/>
      <c r="G116" s="3"/>
      <c r="H116" s="1"/>
      <c r="I116" s="95"/>
      <c r="J116" s="9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0" customHeight="1">
      <c r="A117" s="73" t="str">
        <f t="shared" si="6"/>
        <v>Gerente</v>
      </c>
      <c r="B117" s="74" t="s">
        <v>57</v>
      </c>
      <c r="C117" s="99">
        <f t="shared" si="7"/>
        <v>1</v>
      </c>
      <c r="D117" s="104">
        <v>0.0</v>
      </c>
      <c r="E117" s="85">
        <f t="shared" si="8"/>
        <v>0</v>
      </c>
      <c r="F117" s="26"/>
      <c r="G117" s="3"/>
      <c r="H117" s="1"/>
      <c r="I117" s="95"/>
      <c r="J117" s="9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0" customHeight="1">
      <c r="A118" s="1"/>
      <c r="B118" s="1"/>
      <c r="C118" s="1"/>
      <c r="D118" s="84" t="s">
        <v>35</v>
      </c>
      <c r="E118" s="85">
        <f>$B$48</f>
        <v>1</v>
      </c>
      <c r="F118" s="103">
        <f>SUM(E115:E117)*E118</f>
        <v>441.6</v>
      </c>
      <c r="G118" s="3"/>
      <c r="H118" s="1"/>
      <c r="I118" s="95"/>
      <c r="J118" s="9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0" customHeight="1">
      <c r="A119" s="1"/>
      <c r="B119" s="1"/>
      <c r="C119" s="1"/>
      <c r="D119" s="3"/>
      <c r="E119" s="3"/>
      <c r="F119" s="3"/>
      <c r="G119" s="3"/>
      <c r="H119" s="1"/>
      <c r="I119" s="95"/>
      <c r="J119" s="9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0" customHeight="1">
      <c r="A120" s="1" t="s">
        <v>60</v>
      </c>
      <c r="B120" s="1"/>
      <c r="C120" s="1"/>
      <c r="D120" s="3"/>
      <c r="E120" s="3"/>
      <c r="F120" s="26"/>
      <c r="G120" s="3"/>
      <c r="H120" s="1"/>
      <c r="I120" s="95"/>
      <c r="J120" s="9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0" customHeight="1">
      <c r="A121" s="65" t="s">
        <v>17</v>
      </c>
      <c r="B121" s="66" t="s">
        <v>18</v>
      </c>
      <c r="C121" s="66" t="s">
        <v>11</v>
      </c>
      <c r="D121" s="67" t="s">
        <v>19</v>
      </c>
      <c r="E121" s="67" t="s">
        <v>20</v>
      </c>
      <c r="F121" s="68" t="s">
        <v>61</v>
      </c>
      <c r="G121" s="3"/>
      <c r="H121" s="1"/>
      <c r="I121" s="95"/>
      <c r="J121" s="9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0" customHeight="1">
      <c r="A122" s="73" t="str">
        <f t="shared" ref="A122:A124" si="9">+A115</f>
        <v>Coletor</v>
      </c>
      <c r="B122" s="74" t="s">
        <v>57</v>
      </c>
      <c r="C122" s="96">
        <f>E39</f>
        <v>10</v>
      </c>
      <c r="D122" s="104">
        <v>24.1</v>
      </c>
      <c r="E122" s="76">
        <f>C122*D122</f>
        <v>241</v>
      </c>
      <c r="F122" s="26"/>
      <c r="G122" s="3"/>
      <c r="H122" s="1"/>
      <c r="I122" s="95"/>
      <c r="J122" s="9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0" customHeight="1">
      <c r="A123" s="73" t="str">
        <f t="shared" si="9"/>
        <v>Motorista</v>
      </c>
      <c r="B123" s="74" t="s">
        <v>57</v>
      </c>
      <c r="C123" s="96" t="str">
        <f>E47</f>
        <v/>
      </c>
      <c r="D123" s="104" t="s">
        <v>62</v>
      </c>
      <c r="E123" s="76" t="s">
        <v>62</v>
      </c>
      <c r="F123" s="26"/>
      <c r="G123" s="3"/>
      <c r="H123" s="1"/>
      <c r="I123" s="95"/>
      <c r="J123" s="9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0" customHeight="1">
      <c r="A124" s="73" t="str">
        <f t="shared" si="9"/>
        <v>Gerente</v>
      </c>
      <c r="B124" s="74" t="s">
        <v>57</v>
      </c>
      <c r="C124" s="96">
        <f>C117</f>
        <v>1</v>
      </c>
      <c r="D124" s="104">
        <v>24.1</v>
      </c>
      <c r="E124" s="76">
        <f>C124*D124</f>
        <v>24.1</v>
      </c>
      <c r="F124" s="26"/>
      <c r="G124" s="3"/>
      <c r="H124" s="1"/>
      <c r="I124" s="95"/>
      <c r="J124" s="9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0" customHeight="1">
      <c r="A125" s="1"/>
      <c r="B125" s="1"/>
      <c r="C125" s="1"/>
      <c r="D125" s="84" t="s">
        <v>35</v>
      </c>
      <c r="E125" s="85">
        <f>$B$48</f>
        <v>1</v>
      </c>
      <c r="F125" s="103">
        <f>SUM(E122:E124)*E125</f>
        <v>265.1</v>
      </c>
      <c r="G125" s="3"/>
      <c r="H125" s="1"/>
      <c r="I125" s="95"/>
      <c r="J125" s="9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0" customHeight="1">
      <c r="A126" s="1"/>
      <c r="B126" s="1"/>
      <c r="C126" s="1"/>
      <c r="D126" s="3"/>
      <c r="E126" s="3"/>
      <c r="F126" s="3"/>
      <c r="G126" s="3"/>
      <c r="H126" s="1"/>
      <c r="I126" s="95"/>
      <c r="J126" s="9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0" customHeight="1">
      <c r="A127" s="105" t="s">
        <v>63</v>
      </c>
      <c r="B127" s="106"/>
      <c r="C127" s="106"/>
      <c r="D127" s="40"/>
      <c r="E127" s="107"/>
      <c r="F127" s="103">
        <f>F125+F118+F111+F104+F93+F78+F63</f>
        <v>118129.947</v>
      </c>
      <c r="G127" s="3"/>
      <c r="H127" s="1"/>
      <c r="I127" s="95"/>
      <c r="J127" s="9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0" customHeight="1">
      <c r="A128" s="1"/>
      <c r="B128" s="1"/>
      <c r="C128" s="1"/>
      <c r="D128" s="3"/>
      <c r="E128" s="3"/>
      <c r="F128" s="3"/>
      <c r="G128" s="3"/>
      <c r="H128" s="1"/>
      <c r="I128" s="95"/>
      <c r="J128" s="9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0" customHeight="1">
      <c r="A129" s="27" t="s">
        <v>64</v>
      </c>
      <c r="B129" s="1"/>
      <c r="C129" s="1"/>
      <c r="D129" s="3"/>
      <c r="E129" s="3"/>
      <c r="F129" s="3"/>
      <c r="G129" s="3"/>
      <c r="H129" s="1"/>
      <c r="I129" s="95"/>
      <c r="J129" s="9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0" customHeight="1">
      <c r="A130" s="1"/>
      <c r="B130" s="1"/>
      <c r="C130" s="1"/>
      <c r="D130" s="3"/>
      <c r="E130" s="3"/>
      <c r="F130" s="3"/>
      <c r="G130" s="3"/>
      <c r="H130" s="1"/>
      <c r="I130" s="95"/>
      <c r="J130" s="9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0" customHeight="1">
      <c r="A131" s="1" t="s">
        <v>65</v>
      </c>
      <c r="B131" s="1"/>
      <c r="C131" s="1"/>
      <c r="D131" s="3"/>
      <c r="E131" s="3"/>
      <c r="F131" s="3"/>
      <c r="G131" s="3"/>
      <c r="H131" s="1"/>
      <c r="I131" s="95"/>
      <c r="J131" s="9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0" customHeight="1">
      <c r="A132" s="1"/>
      <c r="B132" s="1"/>
      <c r="C132" s="1"/>
      <c r="D132" s="3"/>
      <c r="E132" s="3"/>
      <c r="F132" s="3"/>
      <c r="G132" s="3"/>
      <c r="H132" s="1"/>
      <c r="I132" s="95"/>
      <c r="J132" s="9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0" customHeight="1">
      <c r="A133" s="65" t="s">
        <v>17</v>
      </c>
      <c r="B133" s="66" t="s">
        <v>18</v>
      </c>
      <c r="C133" s="108" t="s">
        <v>66</v>
      </c>
      <c r="D133" s="67" t="s">
        <v>19</v>
      </c>
      <c r="E133" s="67" t="s">
        <v>20</v>
      </c>
      <c r="F133" s="68" t="s">
        <v>67</v>
      </c>
      <c r="G133" s="3"/>
      <c r="H133" s="1"/>
      <c r="I133" s="95"/>
      <c r="J133" s="9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0" customHeight="1">
      <c r="A134" s="69" t="s">
        <v>68</v>
      </c>
      <c r="B134" s="70" t="s">
        <v>57</v>
      </c>
      <c r="C134" s="109">
        <v>6.0</v>
      </c>
      <c r="D134" s="110">
        <v>112.33</v>
      </c>
      <c r="E134" s="72">
        <f t="shared" ref="E134:E143" si="10">IFERROR(D134/C134,0)</f>
        <v>18.72166667</v>
      </c>
      <c r="F134" s="3"/>
      <c r="G134" s="3"/>
      <c r="H134" s="1"/>
      <c r="I134" s="95"/>
      <c r="J134" s="9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0" customHeight="1">
      <c r="A135" s="73" t="s">
        <v>69</v>
      </c>
      <c r="B135" s="74" t="s">
        <v>57</v>
      </c>
      <c r="C135" s="109">
        <v>3.0</v>
      </c>
      <c r="D135" s="110">
        <v>46.91</v>
      </c>
      <c r="E135" s="72">
        <f t="shared" si="10"/>
        <v>15.63666667</v>
      </c>
      <c r="F135" s="3"/>
      <c r="G135" s="3"/>
      <c r="H135" s="1"/>
      <c r="I135" s="95"/>
      <c r="J135" s="9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0" customHeight="1">
      <c r="A136" s="73" t="s">
        <v>70</v>
      </c>
      <c r="B136" s="74" t="s">
        <v>57</v>
      </c>
      <c r="C136" s="109">
        <v>3.0</v>
      </c>
      <c r="D136" s="110">
        <v>20.3</v>
      </c>
      <c r="E136" s="72">
        <f t="shared" si="10"/>
        <v>6.766666667</v>
      </c>
      <c r="F136" s="3"/>
      <c r="G136" s="3"/>
      <c r="H136" s="1"/>
      <c r="I136" s="95"/>
      <c r="J136" s="9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0" customHeight="1">
      <c r="A137" s="73" t="s">
        <v>71</v>
      </c>
      <c r="B137" s="74" t="s">
        <v>57</v>
      </c>
      <c r="C137" s="109">
        <v>6.0</v>
      </c>
      <c r="D137" s="110">
        <v>24.22</v>
      </c>
      <c r="E137" s="72">
        <f t="shared" si="10"/>
        <v>4.036666667</v>
      </c>
      <c r="F137" s="3"/>
      <c r="G137" s="3"/>
      <c r="H137" s="1"/>
      <c r="I137" s="95"/>
      <c r="J137" s="9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0" customHeight="1">
      <c r="A138" s="73" t="s">
        <v>72</v>
      </c>
      <c r="B138" s="74" t="s">
        <v>73</v>
      </c>
      <c r="C138" s="109">
        <v>6.0</v>
      </c>
      <c r="D138" s="110">
        <v>53.17</v>
      </c>
      <c r="E138" s="72">
        <f t="shared" si="10"/>
        <v>8.861666667</v>
      </c>
      <c r="F138" s="3"/>
      <c r="G138" s="3"/>
      <c r="H138" s="1"/>
      <c r="I138" s="95"/>
      <c r="J138" s="9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0" customHeight="1">
      <c r="A139" s="73" t="s">
        <v>74</v>
      </c>
      <c r="B139" s="74" t="s">
        <v>73</v>
      </c>
      <c r="C139" s="109">
        <v>1.0</v>
      </c>
      <c r="D139" s="110">
        <v>4.54</v>
      </c>
      <c r="E139" s="72">
        <f t="shared" si="10"/>
        <v>4.54</v>
      </c>
      <c r="F139" s="3"/>
      <c r="G139" s="3"/>
      <c r="H139" s="1"/>
      <c r="I139" s="95"/>
      <c r="J139" s="9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0" customHeight="1">
      <c r="A140" s="73" t="s">
        <v>75</v>
      </c>
      <c r="B140" s="74" t="s">
        <v>57</v>
      </c>
      <c r="C140" s="109">
        <v>6.0</v>
      </c>
      <c r="D140" s="110">
        <v>24.98</v>
      </c>
      <c r="E140" s="72">
        <f t="shared" si="10"/>
        <v>4.163333333</v>
      </c>
      <c r="F140" s="3"/>
      <c r="G140" s="3"/>
      <c r="H140" s="1"/>
      <c r="I140" s="95"/>
      <c r="J140" s="9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0" customHeight="1">
      <c r="A141" s="111" t="s">
        <v>76</v>
      </c>
      <c r="B141" s="112" t="s">
        <v>57</v>
      </c>
      <c r="C141" s="109">
        <v>6.0</v>
      </c>
      <c r="D141" s="110">
        <v>15.67</v>
      </c>
      <c r="E141" s="72">
        <f t="shared" si="10"/>
        <v>2.611666667</v>
      </c>
      <c r="F141" s="113"/>
      <c r="G141" s="3"/>
      <c r="H141" s="1"/>
      <c r="I141" s="95"/>
      <c r="J141" s="9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0" customHeight="1">
      <c r="A142" s="73" t="s">
        <v>77</v>
      </c>
      <c r="B142" s="74" t="s">
        <v>73</v>
      </c>
      <c r="C142" s="114">
        <v>0.5</v>
      </c>
      <c r="D142" s="110">
        <v>19.42</v>
      </c>
      <c r="E142" s="72">
        <f t="shared" si="10"/>
        <v>38.84</v>
      </c>
      <c r="F142" s="3"/>
      <c r="G142" s="3"/>
      <c r="H142" s="1"/>
      <c r="I142" s="95"/>
      <c r="J142" s="9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0" customHeight="1">
      <c r="A143" s="73" t="s">
        <v>78</v>
      </c>
      <c r="B143" s="74" t="s">
        <v>79</v>
      </c>
      <c r="C143" s="109">
        <v>1.0</v>
      </c>
      <c r="D143" s="110">
        <v>14.13</v>
      </c>
      <c r="E143" s="72">
        <f t="shared" si="10"/>
        <v>14.13</v>
      </c>
      <c r="F143" s="3"/>
      <c r="G143" s="3"/>
      <c r="H143" s="1"/>
      <c r="I143" s="95"/>
      <c r="J143" s="9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0" customHeight="1">
      <c r="A144" s="73" t="s">
        <v>80</v>
      </c>
      <c r="B144" s="74" t="s">
        <v>81</v>
      </c>
      <c r="C144" s="60">
        <v>1.0</v>
      </c>
      <c r="D144" s="110">
        <v>80.0</v>
      </c>
      <c r="E144" s="76">
        <f t="shared" ref="E144:E145" si="11">C144*D144</f>
        <v>80</v>
      </c>
      <c r="F144" s="3"/>
      <c r="G144" s="3"/>
      <c r="H144" s="1"/>
      <c r="I144" s="95"/>
      <c r="J144" s="9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0" customHeight="1">
      <c r="A145" s="73" t="s">
        <v>33</v>
      </c>
      <c r="B145" s="74" t="s">
        <v>34</v>
      </c>
      <c r="C145" s="60">
        <f>E39</f>
        <v>10</v>
      </c>
      <c r="D145" s="76">
        <f>+SUM(E134:E144)</f>
        <v>198.3083333</v>
      </c>
      <c r="E145" s="76">
        <f t="shared" si="11"/>
        <v>1983.083333</v>
      </c>
      <c r="F145" s="3"/>
      <c r="G145" s="3"/>
      <c r="H145" s="1"/>
      <c r="I145" s="95"/>
      <c r="J145" s="9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0" customHeight="1">
      <c r="A146" s="1"/>
      <c r="B146" s="1"/>
      <c r="C146" s="1"/>
      <c r="D146" s="84" t="s">
        <v>35</v>
      </c>
      <c r="E146" s="85">
        <f>$B$48</f>
        <v>1</v>
      </c>
      <c r="F146" s="86">
        <f>E145*E146</f>
        <v>1983.083333</v>
      </c>
      <c r="G146" s="3"/>
      <c r="H146" s="1"/>
      <c r="I146" s="95"/>
      <c r="J146" s="9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0" customHeight="1">
      <c r="A147" s="1"/>
      <c r="B147" s="1"/>
      <c r="C147" s="1"/>
      <c r="D147" s="3"/>
      <c r="E147" s="3"/>
      <c r="F147" s="3"/>
      <c r="G147" s="3"/>
      <c r="H147" s="1"/>
      <c r="I147" s="95"/>
      <c r="J147" s="9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0" customHeight="1">
      <c r="A148" s="1" t="s">
        <v>82</v>
      </c>
      <c r="B148" s="1"/>
      <c r="C148" s="1"/>
      <c r="D148" s="3"/>
      <c r="E148" s="3"/>
      <c r="F148" s="3"/>
      <c r="G148" s="3"/>
      <c r="H148" s="1"/>
      <c r="I148" s="95"/>
      <c r="J148" s="9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0" customHeight="1">
      <c r="A149" s="1"/>
      <c r="B149" s="1"/>
      <c r="C149" s="1"/>
      <c r="D149" s="3"/>
      <c r="E149" s="3"/>
      <c r="F149" s="3"/>
      <c r="G149" s="3"/>
      <c r="H149" s="1"/>
      <c r="I149" s="95"/>
      <c r="J149" s="9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0" customHeight="1">
      <c r="A150" s="65" t="s">
        <v>17</v>
      </c>
      <c r="B150" s="66" t="s">
        <v>18</v>
      </c>
      <c r="C150" s="108" t="s">
        <v>66</v>
      </c>
      <c r="D150" s="67" t="s">
        <v>19</v>
      </c>
      <c r="E150" s="67" t="s">
        <v>20</v>
      </c>
      <c r="F150" s="68" t="s">
        <v>83</v>
      </c>
      <c r="G150" s="3"/>
      <c r="H150" s="1"/>
      <c r="I150" s="95"/>
      <c r="J150" s="9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0" customHeight="1">
      <c r="A151" s="69" t="s">
        <v>68</v>
      </c>
      <c r="B151" s="70" t="s">
        <v>57</v>
      </c>
      <c r="C151" s="109">
        <v>12.0</v>
      </c>
      <c r="D151" s="72">
        <f t="shared" ref="D151:D153" si="12">+D134</f>
        <v>112.33</v>
      </c>
      <c r="E151" s="72">
        <f t="shared" ref="E151:E156" si="13">IFERROR(D151/C151,0)</f>
        <v>9.360833333</v>
      </c>
      <c r="F151" s="3"/>
      <c r="G151" s="3"/>
      <c r="H151" s="1"/>
      <c r="I151" s="95"/>
      <c r="J151" s="9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0" customHeight="1">
      <c r="A152" s="73" t="s">
        <v>69</v>
      </c>
      <c r="B152" s="74" t="s">
        <v>57</v>
      </c>
      <c r="C152" s="109">
        <v>3.0</v>
      </c>
      <c r="D152" s="76">
        <f t="shared" si="12"/>
        <v>46.91</v>
      </c>
      <c r="E152" s="72">
        <f t="shared" si="13"/>
        <v>15.63666667</v>
      </c>
      <c r="F152" s="3"/>
      <c r="G152" s="3"/>
      <c r="H152" s="1"/>
      <c r="I152" s="95"/>
      <c r="J152" s="9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0" customHeight="1">
      <c r="A153" s="73" t="s">
        <v>70</v>
      </c>
      <c r="B153" s="74" t="s">
        <v>57</v>
      </c>
      <c r="C153" s="109">
        <v>3.0</v>
      </c>
      <c r="D153" s="76">
        <f t="shared" si="12"/>
        <v>20.3</v>
      </c>
      <c r="E153" s="72">
        <f t="shared" si="13"/>
        <v>6.766666667</v>
      </c>
      <c r="F153" s="3"/>
      <c r="G153" s="3"/>
      <c r="H153" s="1"/>
      <c r="I153" s="95"/>
      <c r="J153" s="9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0" customHeight="1">
      <c r="A154" s="73" t="s">
        <v>84</v>
      </c>
      <c r="B154" s="74" t="s">
        <v>73</v>
      </c>
      <c r="C154" s="109">
        <v>6.0</v>
      </c>
      <c r="D154" s="76">
        <f>+D138</f>
        <v>53.17</v>
      </c>
      <c r="E154" s="72">
        <f t="shared" si="13"/>
        <v>8.861666667</v>
      </c>
      <c r="F154" s="3"/>
      <c r="G154" s="3"/>
      <c r="H154" s="1"/>
      <c r="I154" s="95"/>
      <c r="J154" s="9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0" customHeight="1">
      <c r="A155" s="73" t="s">
        <v>75</v>
      </c>
      <c r="B155" s="74" t="s">
        <v>57</v>
      </c>
      <c r="C155" s="109">
        <v>6.0</v>
      </c>
      <c r="D155" s="76">
        <f>+D140</f>
        <v>24.98</v>
      </c>
      <c r="E155" s="72">
        <f t="shared" si="13"/>
        <v>4.163333333</v>
      </c>
      <c r="F155" s="3"/>
      <c r="G155" s="3"/>
      <c r="H155" s="1"/>
      <c r="I155" s="95"/>
      <c r="J155" s="9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0" customHeight="1">
      <c r="A156" s="73" t="s">
        <v>78</v>
      </c>
      <c r="B156" s="74" t="s">
        <v>79</v>
      </c>
      <c r="C156" s="109">
        <v>2.0</v>
      </c>
      <c r="D156" s="76">
        <f>+D143</f>
        <v>14.13</v>
      </c>
      <c r="E156" s="72">
        <f t="shared" si="13"/>
        <v>7.065</v>
      </c>
      <c r="F156" s="3"/>
      <c r="G156" s="3"/>
      <c r="H156" s="1"/>
      <c r="I156" s="95"/>
      <c r="J156" s="9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0" customHeight="1">
      <c r="A157" s="73" t="s">
        <v>80</v>
      </c>
      <c r="B157" s="74" t="s">
        <v>81</v>
      </c>
      <c r="C157" s="60">
        <v>1.0</v>
      </c>
      <c r="D157" s="110">
        <v>80.0</v>
      </c>
      <c r="E157" s="76">
        <f t="shared" ref="E157:E158" si="14">C157*D157</f>
        <v>80</v>
      </c>
      <c r="F157" s="3"/>
      <c r="G157" s="3"/>
      <c r="H157" s="1"/>
      <c r="I157" s="95"/>
      <c r="J157" s="9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0" customHeight="1">
      <c r="A158" s="73" t="s">
        <v>33</v>
      </c>
      <c r="B158" s="74" t="s">
        <v>34</v>
      </c>
      <c r="C158" s="60">
        <f>E40+E41</f>
        <v>5</v>
      </c>
      <c r="D158" s="76">
        <f>+SUM(E151:E157)</f>
        <v>131.8541667</v>
      </c>
      <c r="E158" s="76">
        <f t="shared" si="14"/>
        <v>659.2708333</v>
      </c>
      <c r="F158" s="3"/>
      <c r="G158" s="3"/>
      <c r="H158" s="1"/>
      <c r="I158" s="95"/>
      <c r="J158" s="9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0" customHeight="1">
      <c r="A159" s="1"/>
      <c r="B159" s="1"/>
      <c r="C159" s="1"/>
      <c r="D159" s="84" t="s">
        <v>35</v>
      </c>
      <c r="E159" s="85">
        <f>$B$48</f>
        <v>1</v>
      </c>
      <c r="F159" s="86">
        <f>E158*E159</f>
        <v>659.2708333</v>
      </c>
      <c r="G159" s="3"/>
      <c r="H159" s="1"/>
      <c r="I159" s="95"/>
      <c r="J159" s="9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0" customHeight="1">
      <c r="A160" s="1"/>
      <c r="B160" s="1"/>
      <c r="C160" s="1"/>
      <c r="D160" s="3"/>
      <c r="E160" s="3"/>
      <c r="F160" s="3"/>
      <c r="G160" s="3"/>
      <c r="H160" s="1"/>
      <c r="I160" s="95"/>
      <c r="J160" s="9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0" customHeight="1">
      <c r="A161" s="105" t="s">
        <v>85</v>
      </c>
      <c r="B161" s="115"/>
      <c r="C161" s="115"/>
      <c r="D161" s="116"/>
      <c r="E161" s="117"/>
      <c r="F161" s="118">
        <f>+F146+F159</f>
        <v>2642.354167</v>
      </c>
      <c r="G161" s="3"/>
      <c r="H161" s="1"/>
      <c r="I161" s="95"/>
      <c r="J161" s="9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0" customHeight="1">
      <c r="A162" s="1"/>
      <c r="B162" s="1"/>
      <c r="C162" s="1"/>
      <c r="D162" s="3"/>
      <c r="E162" s="3"/>
      <c r="F162" s="3"/>
      <c r="G162" s="3"/>
      <c r="H162" s="1"/>
      <c r="I162" s="95"/>
      <c r="J162" s="9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0" customHeight="1">
      <c r="A163" s="27" t="s">
        <v>86</v>
      </c>
      <c r="B163" s="1"/>
      <c r="C163" s="1"/>
      <c r="D163" s="3"/>
      <c r="E163" s="3"/>
      <c r="F163" s="3"/>
      <c r="G163" s="3"/>
      <c r="H163" s="1"/>
      <c r="I163" s="95"/>
      <c r="J163" s="9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0" customHeight="1">
      <c r="A164" s="1"/>
      <c r="B164" s="119"/>
      <c r="C164" s="1"/>
      <c r="D164" s="3"/>
      <c r="E164" s="3"/>
      <c r="F164" s="3"/>
      <c r="G164" s="3"/>
      <c r="H164" s="1"/>
      <c r="I164" s="95"/>
      <c r="J164" s="9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0" customHeight="1">
      <c r="A165" s="1" t="s">
        <v>87</v>
      </c>
      <c r="B165" s="1"/>
      <c r="C165" s="1"/>
      <c r="D165" s="3"/>
      <c r="E165" s="3"/>
      <c r="F165" s="3"/>
      <c r="G165" s="3"/>
      <c r="H165" s="1"/>
      <c r="I165" s="95"/>
      <c r="J165" s="9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0" customHeight="1">
      <c r="A166" s="1"/>
      <c r="B166" s="1"/>
      <c r="C166" s="1"/>
      <c r="D166" s="3"/>
      <c r="E166" s="3"/>
      <c r="F166" s="3"/>
      <c r="G166" s="3"/>
      <c r="H166" s="1"/>
      <c r="I166" s="95"/>
      <c r="J166" s="9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0" customHeight="1">
      <c r="A167" s="119" t="s">
        <v>88</v>
      </c>
      <c r="B167" s="1"/>
      <c r="C167" s="1"/>
      <c r="D167" s="3"/>
      <c r="E167" s="3"/>
      <c r="F167" s="3"/>
      <c r="G167" s="3"/>
      <c r="H167" s="1"/>
      <c r="I167" s="95"/>
      <c r="J167" s="9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0" customHeight="1">
      <c r="A168" s="65" t="s">
        <v>17</v>
      </c>
      <c r="B168" s="66" t="s">
        <v>18</v>
      </c>
      <c r="C168" s="66" t="s">
        <v>11</v>
      </c>
      <c r="D168" s="67" t="s">
        <v>19</v>
      </c>
      <c r="E168" s="67" t="s">
        <v>20</v>
      </c>
      <c r="F168" s="68" t="s">
        <v>89</v>
      </c>
      <c r="G168" s="3"/>
      <c r="H168" s="1"/>
      <c r="I168" s="95"/>
      <c r="J168" s="9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0" customHeight="1">
      <c r="A169" s="120" t="s">
        <v>90</v>
      </c>
      <c r="B169" s="70" t="s">
        <v>57</v>
      </c>
      <c r="C169" s="70">
        <v>1.0</v>
      </c>
      <c r="D169" s="110">
        <v>413636.67</v>
      </c>
      <c r="E169" s="72">
        <f>C169*D169</f>
        <v>413636.67</v>
      </c>
      <c r="F169" s="3"/>
      <c r="G169" s="3"/>
      <c r="H169" s="1"/>
      <c r="I169" s="95"/>
      <c r="J169" s="9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0" customHeight="1">
      <c r="A170" s="73" t="s">
        <v>91</v>
      </c>
      <c r="B170" s="74" t="s">
        <v>92</v>
      </c>
      <c r="C170" s="83">
        <v>10.0</v>
      </c>
      <c r="D170" s="76"/>
      <c r="E170" s="76"/>
      <c r="F170" s="3"/>
      <c r="G170" s="3"/>
      <c r="H170" s="1"/>
      <c r="I170" s="95"/>
      <c r="J170" s="9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0" customHeight="1">
      <c r="A171" s="73" t="s">
        <v>93</v>
      </c>
      <c r="B171" s="74" t="s">
        <v>92</v>
      </c>
      <c r="C171" s="83">
        <v>5.0</v>
      </c>
      <c r="D171" s="76"/>
      <c r="E171" s="76"/>
      <c r="F171" s="121"/>
      <c r="G171" s="3"/>
      <c r="H171" s="1"/>
      <c r="I171" s="95"/>
      <c r="J171" s="9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0" customHeight="1">
      <c r="A172" s="73" t="s">
        <v>94</v>
      </c>
      <c r="B172" s="74" t="s">
        <v>5</v>
      </c>
      <c r="C172" s="81">
        <f>IFERROR(VLOOKUP(C170,'5. Depreciação'!A3:B17,2,FALSE),0)</f>
        <v>65.18</v>
      </c>
      <c r="D172" s="76">
        <f>E169</f>
        <v>413636.67</v>
      </c>
      <c r="E172" s="76">
        <f>C172*D172/100</f>
        <v>269608.3815</v>
      </c>
      <c r="F172" s="3"/>
      <c r="G172" s="3"/>
      <c r="H172" s="1"/>
      <c r="I172" s="95"/>
      <c r="J172" s="9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0" customHeight="1">
      <c r="A173" s="90" t="s">
        <v>95</v>
      </c>
      <c r="B173" s="122" t="s">
        <v>23</v>
      </c>
      <c r="C173" s="122">
        <f>C170*12</f>
        <v>120</v>
      </c>
      <c r="D173" s="91">
        <f>IF(C171&lt;=C170,E172,0)</f>
        <v>269608.3815</v>
      </c>
      <c r="E173" s="91">
        <f>IFERROR(D173/C173,0)</f>
        <v>2246.736513</v>
      </c>
      <c r="F173" s="3"/>
      <c r="G173" s="3"/>
      <c r="H173" s="1"/>
      <c r="I173" s="95"/>
      <c r="J173" s="9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0" customHeight="1">
      <c r="A174" s="73" t="s">
        <v>96</v>
      </c>
      <c r="B174" s="74" t="s">
        <v>57</v>
      </c>
      <c r="C174" s="74">
        <f>C169</f>
        <v>1</v>
      </c>
      <c r="D174" s="123">
        <v>0.0</v>
      </c>
      <c r="E174" s="76">
        <f>C174*D174</f>
        <v>0</v>
      </c>
      <c r="F174" s="3"/>
      <c r="G174" s="3"/>
      <c r="H174" s="1"/>
      <c r="I174" s="95"/>
      <c r="J174" s="9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0" customHeight="1">
      <c r="A175" s="73" t="s">
        <v>97</v>
      </c>
      <c r="B175" s="74" t="s">
        <v>92</v>
      </c>
      <c r="C175" s="83">
        <v>10.0</v>
      </c>
      <c r="D175" s="76"/>
      <c r="E175" s="76"/>
      <c r="F175" s="3"/>
      <c r="G175" s="3"/>
      <c r="H175" s="1"/>
      <c r="I175" s="95"/>
      <c r="J175" s="9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0" customHeight="1">
      <c r="A176" s="73" t="s">
        <v>98</v>
      </c>
      <c r="B176" s="74" t="s">
        <v>92</v>
      </c>
      <c r="C176" s="83">
        <v>6.0</v>
      </c>
      <c r="D176" s="76"/>
      <c r="E176" s="76"/>
      <c r="F176" s="1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0" customHeight="1">
      <c r="A177" s="73" t="s">
        <v>99</v>
      </c>
      <c r="B177" s="74" t="s">
        <v>5</v>
      </c>
      <c r="C177" s="124">
        <f>IFERROR(VLOOKUP(C175,'5. Depreciação'!A3:B17,2,FALSE),0)</f>
        <v>65.18</v>
      </c>
      <c r="D177" s="76">
        <f>E174</f>
        <v>0</v>
      </c>
      <c r="E177" s="76">
        <f>C177*D177/100</f>
        <v>0</v>
      </c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0" customHeight="1">
      <c r="A178" s="90" t="s">
        <v>100</v>
      </c>
      <c r="B178" s="122" t="s">
        <v>23</v>
      </c>
      <c r="C178" s="122">
        <f>C175*12</f>
        <v>120</v>
      </c>
      <c r="D178" s="91">
        <f>IF(C176&lt;=C175,E177,0)</f>
        <v>0</v>
      </c>
      <c r="E178" s="91">
        <f>IFERROR(D178/C178,0)</f>
        <v>0</v>
      </c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0" customHeight="1">
      <c r="A179" s="77" t="s">
        <v>101</v>
      </c>
      <c r="B179" s="78"/>
      <c r="C179" s="78"/>
      <c r="D179" s="79"/>
      <c r="E179" s="80">
        <f>E173+E178</f>
        <v>2246.736513</v>
      </c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0" customHeight="1">
      <c r="A180" s="90" t="s">
        <v>102</v>
      </c>
      <c r="B180" s="122" t="s">
        <v>57</v>
      </c>
      <c r="C180" s="125">
        <v>3.3</v>
      </c>
      <c r="D180" s="91">
        <f>E179</f>
        <v>2246.736513</v>
      </c>
      <c r="E180" s="80">
        <f>C180*D180</f>
        <v>7414.230491</v>
      </c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0" customHeight="1">
      <c r="A181" s="126"/>
      <c r="B181" s="126"/>
      <c r="C181" s="126"/>
      <c r="D181" s="84" t="s">
        <v>35</v>
      </c>
      <c r="E181" s="85">
        <f>$B$48</f>
        <v>1</v>
      </c>
      <c r="F181" s="118">
        <f>E181*E180</f>
        <v>7414.230491</v>
      </c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0" customHeight="1">
      <c r="A182" s="127" t="s">
        <v>103</v>
      </c>
      <c r="B182" s="128"/>
      <c r="C182" s="128"/>
      <c r="D182" s="128"/>
      <c r="E182" s="3"/>
      <c r="F182" s="129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0" customHeight="1">
      <c r="A183" s="1"/>
      <c r="B183" s="1"/>
      <c r="C183" s="1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0" customHeight="1">
      <c r="A184" s="119" t="s">
        <v>104</v>
      </c>
      <c r="B184" s="1"/>
      <c r="C184" s="1"/>
      <c r="D184" s="3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0" customHeight="1">
      <c r="A185" s="130" t="s">
        <v>17</v>
      </c>
      <c r="B185" s="131" t="s">
        <v>18</v>
      </c>
      <c r="C185" s="131" t="s">
        <v>11</v>
      </c>
      <c r="D185" s="67" t="s">
        <v>19</v>
      </c>
      <c r="E185" s="132" t="s">
        <v>20</v>
      </c>
      <c r="F185" s="68" t="s">
        <v>105</v>
      </c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0" customHeight="1">
      <c r="A186" s="73" t="s">
        <v>106</v>
      </c>
      <c r="B186" s="74" t="s">
        <v>57</v>
      </c>
      <c r="C186" s="70">
        <v>1.0</v>
      </c>
      <c r="D186" s="76">
        <f>D169</f>
        <v>413636.67</v>
      </c>
      <c r="E186" s="76">
        <f>C186*D186</f>
        <v>413636.67</v>
      </c>
      <c r="F186" s="121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0" customHeight="1">
      <c r="A187" s="73" t="s">
        <v>107</v>
      </c>
      <c r="B187" s="74" t="s">
        <v>5</v>
      </c>
      <c r="C187" s="125">
        <v>15.0</v>
      </c>
      <c r="D187" s="76"/>
      <c r="E187" s="76"/>
      <c r="F187" s="121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0" customHeight="1">
      <c r="A188" s="73" t="s">
        <v>108</v>
      </c>
      <c r="B188" s="74" t="s">
        <v>28</v>
      </c>
      <c r="C188" s="76">
        <f>IFERROR(IF(C171&lt;=C170,E169-(C172/(100*C170)*C171)*E169,E169-E172),0)</f>
        <v>278832.4792</v>
      </c>
      <c r="D188" s="76"/>
      <c r="E188" s="76"/>
      <c r="F188" s="121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0" customHeight="1">
      <c r="A189" s="73" t="s">
        <v>109</v>
      </c>
      <c r="B189" s="74" t="s">
        <v>28</v>
      </c>
      <c r="C189" s="76">
        <f>IFERROR(IF(C171&gt;=C170,C188,((((C188)-(E169-E172))*(((C170-C171)+1)/(2*(C170-C171))))+(E169-E172))),0)</f>
        <v>224910.8029</v>
      </c>
      <c r="D189" s="76"/>
      <c r="E189" s="76"/>
      <c r="F189" s="121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0" customHeight="1">
      <c r="A190" s="90" t="s">
        <v>110</v>
      </c>
      <c r="B190" s="122" t="s">
        <v>28</v>
      </c>
      <c r="C190" s="122"/>
      <c r="D190" s="91">
        <f>C187*C189/12/100</f>
        <v>2811.385037</v>
      </c>
      <c r="E190" s="91">
        <f>D190</f>
        <v>2811.385037</v>
      </c>
      <c r="F190" s="121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0" customHeight="1">
      <c r="A191" s="73" t="s">
        <v>111</v>
      </c>
      <c r="B191" s="74" t="s">
        <v>57</v>
      </c>
      <c r="C191" s="74">
        <f t="shared" ref="C191:D191" si="15">C174</f>
        <v>1</v>
      </c>
      <c r="D191" s="76">
        <f t="shared" si="15"/>
        <v>0</v>
      </c>
      <c r="E191" s="76">
        <f>C191*D191</f>
        <v>0</v>
      </c>
      <c r="F191" s="121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0" customHeight="1">
      <c r="A192" s="73" t="s">
        <v>107</v>
      </c>
      <c r="B192" s="74" t="s">
        <v>5</v>
      </c>
      <c r="C192" s="74">
        <f>C187</f>
        <v>15</v>
      </c>
      <c r="D192" s="76"/>
      <c r="E192" s="76"/>
      <c r="F192" s="121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0" customHeight="1">
      <c r="A193" s="73" t="s">
        <v>112</v>
      </c>
      <c r="B193" s="74" t="s">
        <v>28</v>
      </c>
      <c r="C193" s="76">
        <f>IFERROR(IF(C176&lt;=C175,E174-(C177/(100*C175)*C176)*E174,E174-E177),0)</f>
        <v>0</v>
      </c>
      <c r="D193" s="76"/>
      <c r="E193" s="76"/>
      <c r="F193" s="121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0" customHeight="1">
      <c r="A194" s="73" t="s">
        <v>113</v>
      </c>
      <c r="B194" s="74" t="s">
        <v>28</v>
      </c>
      <c r="C194" s="76">
        <f>IFERROR(IF(C176&gt;=C175,C193,((((C193)-(E174-E177))*(((C175-C176)+1)/(2*(C175-C176))))+(E174-E177))),0)</f>
        <v>0</v>
      </c>
      <c r="D194" s="76"/>
      <c r="E194" s="76"/>
      <c r="F194" s="121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0" customHeight="1">
      <c r="A195" s="90" t="s">
        <v>114</v>
      </c>
      <c r="B195" s="122" t="s">
        <v>28</v>
      </c>
      <c r="C195" s="122"/>
      <c r="D195" s="91">
        <f>C192*C194/12/100</f>
        <v>0</v>
      </c>
      <c r="E195" s="91">
        <f>D195</f>
        <v>0</v>
      </c>
      <c r="F195" s="121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0" customHeight="1">
      <c r="A196" s="77" t="s">
        <v>101</v>
      </c>
      <c r="B196" s="78"/>
      <c r="C196" s="78"/>
      <c r="D196" s="79"/>
      <c r="E196" s="80">
        <f>E190+E195</f>
        <v>2811.385037</v>
      </c>
      <c r="F196" s="121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0" customHeight="1">
      <c r="A197" s="90" t="s">
        <v>102</v>
      </c>
      <c r="B197" s="122" t="s">
        <v>57</v>
      </c>
      <c r="C197" s="74">
        <f>C180</f>
        <v>3.3</v>
      </c>
      <c r="D197" s="91">
        <f>E196</f>
        <v>2811.385037</v>
      </c>
      <c r="E197" s="80">
        <f>C197*D197</f>
        <v>9277.570622</v>
      </c>
      <c r="F197" s="121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0" customHeight="1">
      <c r="A198" s="1"/>
      <c r="B198" s="1"/>
      <c r="C198" s="133"/>
      <c r="D198" s="84" t="s">
        <v>35</v>
      </c>
      <c r="E198" s="85">
        <f>$B$48</f>
        <v>1</v>
      </c>
      <c r="F198" s="118">
        <f>E197*E198</f>
        <v>9277.570622</v>
      </c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0" customHeight="1">
      <c r="A199" s="134" t="s">
        <v>103</v>
      </c>
      <c r="B199" s="128"/>
      <c r="C199" s="128"/>
      <c r="D199" s="128"/>
      <c r="E199" s="3"/>
      <c r="F199" s="129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0" customHeight="1">
      <c r="A200" s="1"/>
      <c r="B200" s="1"/>
      <c r="C200" s="1"/>
      <c r="D200" s="3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0" customHeight="1">
      <c r="A201" s="1" t="s">
        <v>115</v>
      </c>
      <c r="B201" s="1"/>
      <c r="C201" s="1"/>
      <c r="D201" s="3"/>
      <c r="E201" s="3"/>
      <c r="F201" s="3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ht="15.0" customHeight="1">
      <c r="A202" s="65" t="s">
        <v>17</v>
      </c>
      <c r="B202" s="66" t="s">
        <v>18</v>
      </c>
      <c r="C202" s="66" t="s">
        <v>11</v>
      </c>
      <c r="D202" s="67" t="s">
        <v>19</v>
      </c>
      <c r="E202" s="67" t="s">
        <v>20</v>
      </c>
      <c r="F202" s="68" t="s">
        <v>116</v>
      </c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0" customHeight="1">
      <c r="A203" s="69" t="s">
        <v>117</v>
      </c>
      <c r="B203" s="70" t="s">
        <v>57</v>
      </c>
      <c r="C203" s="110">
        <v>3.0</v>
      </c>
      <c r="D203" s="72">
        <f>0.01*($E$169)</f>
        <v>4136.3667</v>
      </c>
      <c r="E203" s="72">
        <f t="shared" ref="E203:E205" si="16">C203*D203</f>
        <v>12409.1001</v>
      </c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0" customHeight="1">
      <c r="A204" s="73" t="s">
        <v>118</v>
      </c>
      <c r="B204" s="74" t="s">
        <v>57</v>
      </c>
      <c r="C204" s="72">
        <f>C203</f>
        <v>3</v>
      </c>
      <c r="D204" s="104">
        <v>100.0</v>
      </c>
      <c r="E204" s="76">
        <f t="shared" si="16"/>
        <v>300</v>
      </c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0" customHeight="1">
      <c r="A205" s="73" t="s">
        <v>119</v>
      </c>
      <c r="B205" s="74" t="s">
        <v>57</v>
      </c>
      <c r="C205" s="72">
        <f>C203</f>
        <v>3</v>
      </c>
      <c r="D205" s="104">
        <v>1500.0</v>
      </c>
      <c r="E205" s="76">
        <f t="shared" si="16"/>
        <v>4500</v>
      </c>
      <c r="F205" s="79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0" customHeight="1">
      <c r="A206" s="90" t="s">
        <v>120</v>
      </c>
      <c r="B206" s="122" t="s">
        <v>23</v>
      </c>
      <c r="C206" s="122">
        <v>12.0</v>
      </c>
      <c r="D206" s="91">
        <f>SUM(E203:E205)</f>
        <v>17209.1001</v>
      </c>
      <c r="E206" s="91">
        <f>D206/C206</f>
        <v>1434.091675</v>
      </c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0" customHeight="1">
      <c r="A207" s="1"/>
      <c r="B207" s="1"/>
      <c r="C207" s="1"/>
      <c r="D207" s="84" t="s">
        <v>35</v>
      </c>
      <c r="E207" s="85">
        <f>$B$48</f>
        <v>1</v>
      </c>
      <c r="F207" s="86">
        <f>E206*E207</f>
        <v>1434.091675</v>
      </c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0" customHeight="1">
      <c r="A208" s="1"/>
      <c r="B208" s="1"/>
      <c r="C208" s="1"/>
      <c r="D208" s="3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0" customHeight="1">
      <c r="A209" s="1" t="s">
        <v>121</v>
      </c>
      <c r="B209" s="136"/>
      <c r="C209" s="1"/>
      <c r="D209" s="3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0" customHeight="1">
      <c r="A210" s="1"/>
      <c r="B210" s="136"/>
      <c r="C210" s="1"/>
      <c r="D210" s="3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0" customHeight="1">
      <c r="A211" s="90" t="s">
        <v>122</v>
      </c>
      <c r="B211" s="137">
        <v>8000.0</v>
      </c>
      <c r="C211" s="1"/>
      <c r="D211" s="3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0" customHeight="1">
      <c r="A212" s="1"/>
      <c r="B212" s="136"/>
      <c r="C212" s="1"/>
      <c r="D212" s="3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0" customHeight="1">
      <c r="A213" s="130" t="s">
        <v>17</v>
      </c>
      <c r="B213" s="131" t="s">
        <v>18</v>
      </c>
      <c r="C213" s="131" t="s">
        <v>123</v>
      </c>
      <c r="D213" s="132" t="s">
        <v>19</v>
      </c>
      <c r="E213" s="132" t="s">
        <v>20</v>
      </c>
      <c r="F213" s="68" t="s">
        <v>124</v>
      </c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0" customHeight="1">
      <c r="A214" s="73" t="s">
        <v>125</v>
      </c>
      <c r="B214" s="74" t="s">
        <v>126</v>
      </c>
      <c r="C214" s="138">
        <v>3.0</v>
      </c>
      <c r="D214" s="139">
        <v>6.09</v>
      </c>
      <c r="E214" s="76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0" customHeight="1">
      <c r="A215" s="73" t="s">
        <v>127</v>
      </c>
      <c r="B215" s="74" t="s">
        <v>128</v>
      </c>
      <c r="C215" s="96">
        <f>B211</f>
        <v>8000</v>
      </c>
      <c r="D215" s="140">
        <f>IFERROR(+D214/C214,"-")</f>
        <v>2.03</v>
      </c>
      <c r="E215" s="76">
        <f>IFERROR(C215*D215,"-")</f>
        <v>16240</v>
      </c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0" customHeight="1">
      <c r="A216" s="73" t="s">
        <v>129</v>
      </c>
      <c r="B216" s="74" t="s">
        <v>126</v>
      </c>
      <c r="C216" s="138">
        <v>60.0</v>
      </c>
      <c r="D216" s="141">
        <v>8.0</v>
      </c>
      <c r="E216" s="76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0" customHeight="1">
      <c r="A217" s="73" t="s">
        <v>130</v>
      </c>
      <c r="B217" s="74" t="s">
        <v>128</v>
      </c>
      <c r="C217" s="142">
        <f>B211</f>
        <v>8000</v>
      </c>
      <c r="D217" s="85">
        <f>IFERROR(+D216/C216,"-")</f>
        <v>0.1333333333</v>
      </c>
      <c r="E217" s="76">
        <f>IFERROR(C217*D217,"-")</f>
        <v>1066.666667</v>
      </c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0" customHeight="1">
      <c r="A218" s="73" t="s">
        <v>131</v>
      </c>
      <c r="B218" s="74" t="s">
        <v>132</v>
      </c>
      <c r="C218" s="138">
        <v>5.0</v>
      </c>
      <c r="D218" s="104">
        <v>20.0</v>
      </c>
      <c r="E218" s="76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0" customHeight="1">
      <c r="A219" s="73" t="s">
        <v>133</v>
      </c>
      <c r="B219" s="74" t="s">
        <v>128</v>
      </c>
      <c r="C219" s="96">
        <f>C215</f>
        <v>8000</v>
      </c>
      <c r="D219" s="140">
        <f>+C218*D218/1000</f>
        <v>0.1</v>
      </c>
      <c r="E219" s="76">
        <f>C219*D219</f>
        <v>800</v>
      </c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0" customHeight="1">
      <c r="A220" s="73" t="s">
        <v>134</v>
      </c>
      <c r="B220" s="74" t="s">
        <v>132</v>
      </c>
      <c r="C220" s="138">
        <v>1.0</v>
      </c>
      <c r="D220" s="104">
        <v>23.0</v>
      </c>
      <c r="E220" s="76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0" customHeight="1">
      <c r="A221" s="73" t="s">
        <v>135</v>
      </c>
      <c r="B221" s="74" t="s">
        <v>128</v>
      </c>
      <c r="C221" s="96">
        <f>C215</f>
        <v>8000</v>
      </c>
      <c r="D221" s="140">
        <f>+C220*D220/1000</f>
        <v>0.023</v>
      </c>
      <c r="E221" s="76">
        <f>C221*D221</f>
        <v>184</v>
      </c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0" customHeight="1">
      <c r="A222" s="73" t="s">
        <v>136</v>
      </c>
      <c r="B222" s="74" t="s">
        <v>132</v>
      </c>
      <c r="C222" s="138">
        <v>15.0</v>
      </c>
      <c r="D222" s="104">
        <v>25.0</v>
      </c>
      <c r="E222" s="76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0" customHeight="1">
      <c r="A223" s="73" t="s">
        <v>137</v>
      </c>
      <c r="B223" s="74" t="s">
        <v>128</v>
      </c>
      <c r="C223" s="96">
        <f>C215</f>
        <v>8000</v>
      </c>
      <c r="D223" s="140">
        <f>+C222*D222/1000</f>
        <v>0.375</v>
      </c>
      <c r="E223" s="76">
        <f>C223*D223</f>
        <v>3000</v>
      </c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0" customHeight="1">
      <c r="A224" s="73" t="s">
        <v>138</v>
      </c>
      <c r="B224" s="74" t="s">
        <v>139</v>
      </c>
      <c r="C224" s="138">
        <v>1.0</v>
      </c>
      <c r="D224" s="104">
        <v>27.0</v>
      </c>
      <c r="E224" s="76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0" customHeight="1">
      <c r="A225" s="73" t="s">
        <v>138</v>
      </c>
      <c r="B225" s="74" t="s">
        <v>128</v>
      </c>
      <c r="C225" s="96">
        <f>C215</f>
        <v>8000</v>
      </c>
      <c r="D225" s="140">
        <f>+C224*D224/1000</f>
        <v>0.027</v>
      </c>
      <c r="E225" s="76">
        <f>C225*D225</f>
        <v>216</v>
      </c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0" customHeight="1">
      <c r="A226" s="90" t="s">
        <v>140</v>
      </c>
      <c r="B226" s="122" t="s">
        <v>141</v>
      </c>
      <c r="C226" s="143"/>
      <c r="D226" s="144">
        <f>IFERROR(D215+D219+D221+D223+D225,0)</f>
        <v>2.555</v>
      </c>
      <c r="E226" s="76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0" customHeight="1">
      <c r="A227" s="1"/>
      <c r="B227" s="1"/>
      <c r="C227" s="1"/>
      <c r="D227" s="3"/>
      <c r="E227" s="3"/>
      <c r="F227" s="118">
        <f>SUM(E214:E225)</f>
        <v>21506.66667</v>
      </c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0" customHeight="1">
      <c r="A228" s="1"/>
      <c r="B228" s="1"/>
      <c r="C228" s="1"/>
      <c r="D228" s="3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0" customHeight="1">
      <c r="A229" s="1" t="s">
        <v>142</v>
      </c>
      <c r="B229" s="1"/>
      <c r="C229" s="1"/>
      <c r="D229" s="3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0" customHeight="1">
      <c r="A230" s="65" t="s">
        <v>17</v>
      </c>
      <c r="B230" s="66" t="s">
        <v>18</v>
      </c>
      <c r="C230" s="66" t="s">
        <v>11</v>
      </c>
      <c r="D230" s="67" t="s">
        <v>19</v>
      </c>
      <c r="E230" s="67" t="s">
        <v>20</v>
      </c>
      <c r="F230" s="68" t="s">
        <v>143</v>
      </c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0" customHeight="1">
      <c r="A231" s="120" t="s">
        <v>144</v>
      </c>
      <c r="B231" s="70" t="s">
        <v>141</v>
      </c>
      <c r="C231" s="96">
        <f>C215</f>
        <v>8000</v>
      </c>
      <c r="D231" s="110">
        <v>2.5</v>
      </c>
      <c r="E231" s="72">
        <f>C231*D231</f>
        <v>20000</v>
      </c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0" customHeight="1">
      <c r="A232" s="1"/>
      <c r="B232" s="1"/>
      <c r="C232" s="1"/>
      <c r="D232" s="3"/>
      <c r="E232" s="3"/>
      <c r="F232" s="118">
        <f>E231</f>
        <v>20000</v>
      </c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0" customHeight="1">
      <c r="A233" s="1"/>
      <c r="B233" s="1"/>
      <c r="C233" s="1"/>
      <c r="D233" s="3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0" customHeight="1">
      <c r="A234" s="1" t="s">
        <v>145</v>
      </c>
      <c r="B234" s="1"/>
      <c r="C234" s="1"/>
      <c r="D234" s="3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0" customHeight="1">
      <c r="A235" s="65" t="s">
        <v>17</v>
      </c>
      <c r="B235" s="66" t="s">
        <v>18</v>
      </c>
      <c r="C235" s="66" t="s">
        <v>11</v>
      </c>
      <c r="D235" s="67" t="s">
        <v>19</v>
      </c>
      <c r="E235" s="67" t="s">
        <v>20</v>
      </c>
      <c r="F235" s="68" t="s">
        <v>146</v>
      </c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0" customHeight="1">
      <c r="A236" s="69" t="s">
        <v>147</v>
      </c>
      <c r="B236" s="70" t="s">
        <v>57</v>
      </c>
      <c r="C236" s="145">
        <v>18.0</v>
      </c>
      <c r="D236" s="71">
        <v>2000.0</v>
      </c>
      <c r="E236" s="72">
        <f>C236*D236</f>
        <v>36000</v>
      </c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0" customHeight="1">
      <c r="A237" s="69" t="s">
        <v>148</v>
      </c>
      <c r="B237" s="70" t="s">
        <v>57</v>
      </c>
      <c r="C237" s="145">
        <v>1.0</v>
      </c>
      <c r="D237" s="72"/>
      <c r="E237" s="72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0" customHeight="1">
      <c r="A238" s="69" t="s">
        <v>149</v>
      </c>
      <c r="B238" s="70" t="s">
        <v>57</v>
      </c>
      <c r="C238" s="72">
        <f>C236*C237</f>
        <v>18</v>
      </c>
      <c r="D238" s="71">
        <v>709.0</v>
      </c>
      <c r="E238" s="72">
        <f>C238*D238</f>
        <v>12762</v>
      </c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0" customHeight="1">
      <c r="A239" s="73" t="s">
        <v>150</v>
      </c>
      <c r="B239" s="74" t="s">
        <v>151</v>
      </c>
      <c r="C239" s="146">
        <v>100000.0</v>
      </c>
      <c r="D239" s="76">
        <f>E236+E238</f>
        <v>48762</v>
      </c>
      <c r="E239" s="76">
        <f>IFERROR(D239/C239,"-")</f>
        <v>0.48762</v>
      </c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0" customHeight="1">
      <c r="A240" s="73" t="s">
        <v>152</v>
      </c>
      <c r="B240" s="74" t="s">
        <v>128</v>
      </c>
      <c r="C240" s="96">
        <f>B211</f>
        <v>8000</v>
      </c>
      <c r="D240" s="76">
        <f>E239</f>
        <v>0.48762</v>
      </c>
      <c r="E240" s="76">
        <f>IFERROR(C240*D240,0)</f>
        <v>3900.96</v>
      </c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0" customHeight="1">
      <c r="A241" s="1"/>
      <c r="B241" s="1"/>
      <c r="C241" s="1"/>
      <c r="D241" s="3"/>
      <c r="E241" s="3"/>
      <c r="F241" s="118">
        <f>E240</f>
        <v>3900.96</v>
      </c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0" customHeight="1">
      <c r="A242" s="1"/>
      <c r="B242" s="1"/>
      <c r="C242" s="1"/>
      <c r="D242" s="3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0" customHeight="1">
      <c r="A243" s="87" t="s">
        <v>153</v>
      </c>
      <c r="B243" s="1"/>
      <c r="C243" s="1"/>
      <c r="D243" s="3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0" customHeight="1">
      <c r="A244" s="1"/>
      <c r="B244" s="1"/>
      <c r="C244" s="1"/>
      <c r="D244" s="3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0" customHeight="1">
      <c r="A245" s="119" t="s">
        <v>88</v>
      </c>
      <c r="B245" s="1"/>
      <c r="C245" s="1"/>
      <c r="D245" s="3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0" customHeight="1">
      <c r="A246" s="65" t="s">
        <v>17</v>
      </c>
      <c r="B246" s="66" t="s">
        <v>18</v>
      </c>
      <c r="C246" s="66" t="s">
        <v>11</v>
      </c>
      <c r="D246" s="67" t="s">
        <v>19</v>
      </c>
      <c r="E246" s="67" t="s">
        <v>20</v>
      </c>
      <c r="F246" s="68" t="s">
        <v>154</v>
      </c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0" customHeight="1">
      <c r="A247" s="69" t="s">
        <v>155</v>
      </c>
      <c r="B247" s="70" t="s">
        <v>57</v>
      </c>
      <c r="C247" s="70">
        <v>1.0</v>
      </c>
      <c r="D247" s="110">
        <v>146833.33</v>
      </c>
      <c r="E247" s="72">
        <f>C247*D247</f>
        <v>146833.33</v>
      </c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0" customHeight="1">
      <c r="A248" s="73" t="s">
        <v>91</v>
      </c>
      <c r="B248" s="74" t="s">
        <v>92</v>
      </c>
      <c r="C248" s="83">
        <v>10.0</v>
      </c>
      <c r="D248" s="76"/>
      <c r="E248" s="76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0" customHeight="1">
      <c r="A249" s="73" t="s">
        <v>93</v>
      </c>
      <c r="B249" s="74" t="s">
        <v>92</v>
      </c>
      <c r="C249" s="83">
        <v>6.0</v>
      </c>
      <c r="D249" s="76"/>
      <c r="E249" s="76"/>
      <c r="F249" s="12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0" customHeight="1">
      <c r="A250" s="73" t="s">
        <v>94</v>
      </c>
      <c r="B250" s="74" t="s">
        <v>5</v>
      </c>
      <c r="C250" s="81">
        <f>IFERROR(VLOOKUP(C248,'5. Depreciação'!A3:B17,2,FALSE),0)</f>
        <v>65.18</v>
      </c>
      <c r="D250" s="76">
        <f>E247</f>
        <v>146833.33</v>
      </c>
      <c r="E250" s="76">
        <f>C250*D250/100</f>
        <v>95705.96449</v>
      </c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0" customHeight="1">
      <c r="A251" s="90" t="s">
        <v>95</v>
      </c>
      <c r="B251" s="122" t="s">
        <v>23</v>
      </c>
      <c r="C251" s="122">
        <f>C248*12</f>
        <v>120</v>
      </c>
      <c r="D251" s="91">
        <f>IF(C249&lt;=C248,E250,0)</f>
        <v>95705.96449</v>
      </c>
      <c r="E251" s="91">
        <f>IFERROR(D251/C251,0)</f>
        <v>797.5497041</v>
      </c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0" customHeight="1">
      <c r="A252" s="73" t="s">
        <v>156</v>
      </c>
      <c r="B252" s="74" t="s">
        <v>57</v>
      </c>
      <c r="C252" s="74">
        <f>C247</f>
        <v>1</v>
      </c>
      <c r="D252" s="104">
        <v>10000.0</v>
      </c>
      <c r="E252" s="76">
        <f>C252*D252</f>
        <v>10000</v>
      </c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0" customHeight="1">
      <c r="A253" s="73" t="s">
        <v>157</v>
      </c>
      <c r="B253" s="74" t="s">
        <v>92</v>
      </c>
      <c r="C253" s="83">
        <v>10.0</v>
      </c>
      <c r="D253" s="76"/>
      <c r="E253" s="76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0" customHeight="1">
      <c r="A254" s="73" t="s">
        <v>158</v>
      </c>
      <c r="B254" s="74" t="s">
        <v>92</v>
      </c>
      <c r="C254" s="83">
        <v>6.0</v>
      </c>
      <c r="D254" s="76"/>
      <c r="E254" s="76"/>
      <c r="F254" s="12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0" customHeight="1">
      <c r="A255" s="73" t="s">
        <v>159</v>
      </c>
      <c r="B255" s="74" t="s">
        <v>5</v>
      </c>
      <c r="C255" s="124">
        <f>IFERROR(VLOOKUP(C253,'5. Depreciação'!A3:B17,2,FALSE),0)</f>
        <v>65.18</v>
      </c>
      <c r="D255" s="76">
        <f>E252</f>
        <v>10000</v>
      </c>
      <c r="E255" s="76">
        <f>C255*D255/100</f>
        <v>6518</v>
      </c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0" customHeight="1">
      <c r="A256" s="90" t="s">
        <v>160</v>
      </c>
      <c r="B256" s="122" t="s">
        <v>23</v>
      </c>
      <c r="C256" s="122">
        <f>C253*12</f>
        <v>120</v>
      </c>
      <c r="D256" s="91">
        <f>IF(C254&lt;=C253,E255,0)</f>
        <v>6518</v>
      </c>
      <c r="E256" s="91">
        <f>IFERROR(D256/C256,0)</f>
        <v>54.31666667</v>
      </c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0" customHeight="1">
      <c r="A257" s="77" t="s">
        <v>101</v>
      </c>
      <c r="B257" s="78"/>
      <c r="C257" s="78"/>
      <c r="D257" s="79"/>
      <c r="E257" s="80">
        <f>E251+E256</f>
        <v>851.8663708</v>
      </c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0" customHeight="1">
      <c r="A258" s="90" t="s">
        <v>102</v>
      </c>
      <c r="B258" s="122" t="s">
        <v>57</v>
      </c>
      <c r="C258" s="83">
        <v>1.1</v>
      </c>
      <c r="D258" s="91">
        <f>E257</f>
        <v>851.8663708</v>
      </c>
      <c r="E258" s="80">
        <f>C258*D258</f>
        <v>937.0530079</v>
      </c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0" customHeight="1">
      <c r="A259" s="126"/>
      <c r="B259" s="126"/>
      <c r="C259" s="126"/>
      <c r="D259" s="84" t="s">
        <v>35</v>
      </c>
      <c r="E259" s="85">
        <f>$B$48</f>
        <v>1</v>
      </c>
      <c r="F259" s="118">
        <f>E258*E259</f>
        <v>937.0530079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0" customHeight="1">
      <c r="A260" s="1"/>
      <c r="B260" s="1"/>
      <c r="C260" s="1"/>
      <c r="D260" s="3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0" customHeight="1">
      <c r="A261" s="119" t="s">
        <v>104</v>
      </c>
      <c r="B261" s="1"/>
      <c r="C261" s="1"/>
      <c r="D261" s="3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0" customHeight="1">
      <c r="A262" s="130" t="s">
        <v>17</v>
      </c>
      <c r="B262" s="131" t="s">
        <v>18</v>
      </c>
      <c r="C262" s="131" t="s">
        <v>11</v>
      </c>
      <c r="D262" s="67" t="s">
        <v>19</v>
      </c>
      <c r="E262" s="132" t="s">
        <v>20</v>
      </c>
      <c r="F262" s="68" t="s">
        <v>161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0" customHeight="1">
      <c r="A263" s="73" t="s">
        <v>106</v>
      </c>
      <c r="B263" s="74" t="s">
        <v>57</v>
      </c>
      <c r="C263" s="70">
        <v>1.0</v>
      </c>
      <c r="D263" s="76">
        <f>D247</f>
        <v>146833.33</v>
      </c>
      <c r="E263" s="76">
        <f>C263*D263</f>
        <v>146833.33</v>
      </c>
      <c r="F263" s="12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0" customHeight="1">
      <c r="A264" s="73" t="s">
        <v>107</v>
      </c>
      <c r="B264" s="74" t="s">
        <v>5</v>
      </c>
      <c r="C264" s="83">
        <f>C187</f>
        <v>15</v>
      </c>
      <c r="D264" s="76"/>
      <c r="E264" s="76"/>
      <c r="F264" s="121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0" customHeight="1">
      <c r="A265" s="73" t="s">
        <v>108</v>
      </c>
      <c r="B265" s="74" t="s">
        <v>28</v>
      </c>
      <c r="C265" s="76">
        <f>IFERROR(IF(C249&lt;=C248,E247-(C250/(100*C248)*C249)*E247,E247-E250),0)</f>
        <v>89409.7513</v>
      </c>
      <c r="D265" s="76"/>
      <c r="E265" s="76"/>
      <c r="F265" s="121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0" customHeight="1">
      <c r="A266" s="73" t="s">
        <v>109</v>
      </c>
      <c r="B266" s="74" t="s">
        <v>28</v>
      </c>
      <c r="C266" s="76">
        <f>IFERROR(IF(C249&gt;=C248,C265,((((C265)-(E247-E250))*(((C248-C249)+1)/(2*(C248-C249))))+(E247-E250))),0)</f>
        <v>75053.85663</v>
      </c>
      <c r="D266" s="76"/>
      <c r="E266" s="76"/>
      <c r="F266" s="121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0" customHeight="1">
      <c r="A267" s="90" t="s">
        <v>110</v>
      </c>
      <c r="B267" s="122" t="s">
        <v>28</v>
      </c>
      <c r="C267" s="122"/>
      <c r="D267" s="91">
        <f>C264*C266/12/100</f>
        <v>938.1732079</v>
      </c>
      <c r="E267" s="91">
        <f>D267</f>
        <v>938.1732079</v>
      </c>
      <c r="F267" s="121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0" customHeight="1">
      <c r="A268" s="73" t="s">
        <v>111</v>
      </c>
      <c r="B268" s="74" t="s">
        <v>57</v>
      </c>
      <c r="C268" s="74">
        <f t="shared" ref="C268:D268" si="17">C252</f>
        <v>1</v>
      </c>
      <c r="D268" s="76">
        <f t="shared" si="17"/>
        <v>10000</v>
      </c>
      <c r="E268" s="76">
        <f>C268*D268</f>
        <v>10000</v>
      </c>
      <c r="F268" s="121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0" customHeight="1">
      <c r="A269" s="73" t="s">
        <v>107</v>
      </c>
      <c r="B269" s="74" t="s">
        <v>5</v>
      </c>
      <c r="C269" s="74">
        <f>C264</f>
        <v>15</v>
      </c>
      <c r="D269" s="76"/>
      <c r="E269" s="76"/>
      <c r="F269" s="121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0" customHeight="1">
      <c r="A270" s="73" t="s">
        <v>112</v>
      </c>
      <c r="B270" s="74" t="s">
        <v>28</v>
      </c>
      <c r="C270" s="76">
        <f>IFERROR(IF(C254&lt;=C253,E252-(C255/(100*C253)*C254)*E252,E252-E255),0)</f>
        <v>6089.2</v>
      </c>
      <c r="D270" s="76"/>
      <c r="E270" s="76"/>
      <c r="F270" s="121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0" customHeight="1">
      <c r="A271" s="73" t="s">
        <v>113</v>
      </c>
      <c r="B271" s="74" t="s">
        <v>28</v>
      </c>
      <c r="C271" s="76">
        <f>IFERROR(IF(C254&gt;=C253,C270,((((C270)-(E252-E255))*(((C253-C254)+1)/(2*(C253-C254))))+(E252-E255))),0)</f>
        <v>5111.5</v>
      </c>
      <c r="D271" s="76"/>
      <c r="E271" s="76"/>
      <c r="F271" s="121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0" customHeight="1">
      <c r="A272" s="90" t="s">
        <v>114</v>
      </c>
      <c r="B272" s="122" t="s">
        <v>28</v>
      </c>
      <c r="C272" s="122"/>
      <c r="D272" s="91">
        <f>C269*C271/12/100</f>
        <v>63.89375</v>
      </c>
      <c r="E272" s="91">
        <f>D272</f>
        <v>63.89375</v>
      </c>
      <c r="F272" s="121"/>
      <c r="G272" s="147"/>
      <c r="H272" s="135"/>
      <c r="I272" s="135"/>
      <c r="J272" s="13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0" customHeight="1">
      <c r="A273" s="77" t="s">
        <v>101</v>
      </c>
      <c r="B273" s="78"/>
      <c r="C273" s="78"/>
      <c r="D273" s="79"/>
      <c r="E273" s="80">
        <f>E267+E272</f>
        <v>1002.066958</v>
      </c>
      <c r="F273" s="121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0" customHeight="1">
      <c r="A274" s="90" t="s">
        <v>102</v>
      </c>
      <c r="B274" s="122" t="s">
        <v>57</v>
      </c>
      <c r="C274" s="74">
        <f>C258</f>
        <v>1.1</v>
      </c>
      <c r="D274" s="91">
        <f>E273</f>
        <v>1002.066958</v>
      </c>
      <c r="E274" s="80">
        <f>C274*D274</f>
        <v>1102.273654</v>
      </c>
      <c r="F274" s="121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0" customHeight="1">
      <c r="A275" s="1"/>
      <c r="B275" s="1"/>
      <c r="C275" s="133"/>
      <c r="D275" s="84" t="s">
        <v>35</v>
      </c>
      <c r="E275" s="85">
        <f>$B$48</f>
        <v>1</v>
      </c>
      <c r="F275" s="118">
        <f>E274*E275</f>
        <v>1102.273654</v>
      </c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0" customHeight="1">
      <c r="A276" s="1"/>
      <c r="B276" s="1"/>
      <c r="C276" s="1"/>
      <c r="D276" s="3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0" customHeight="1">
      <c r="A277" s="1" t="s">
        <v>162</v>
      </c>
      <c r="B277" s="1"/>
      <c r="C277" s="1"/>
      <c r="D277" s="3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0" customHeight="1">
      <c r="A278" s="65" t="s">
        <v>17</v>
      </c>
      <c r="B278" s="66" t="s">
        <v>18</v>
      </c>
      <c r="C278" s="66" t="s">
        <v>11</v>
      </c>
      <c r="D278" s="67" t="s">
        <v>19</v>
      </c>
      <c r="E278" s="67" t="s">
        <v>20</v>
      </c>
      <c r="F278" s="68" t="s">
        <v>163</v>
      </c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0" customHeight="1">
      <c r="A279" s="69" t="s">
        <v>117</v>
      </c>
      <c r="B279" s="70" t="s">
        <v>57</v>
      </c>
      <c r="C279" s="72">
        <f>C258</f>
        <v>1.1</v>
      </c>
      <c r="D279" s="72">
        <v>7866.0</v>
      </c>
      <c r="E279" s="72">
        <f t="shared" ref="E279:E281" si="18">C279*D279</f>
        <v>8652.6</v>
      </c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0" customHeight="1">
      <c r="A280" s="73" t="s">
        <v>118</v>
      </c>
      <c r="B280" s="74" t="s">
        <v>57</v>
      </c>
      <c r="C280" s="72">
        <f>C258</f>
        <v>1.1</v>
      </c>
      <c r="D280" s="104">
        <v>100.0</v>
      </c>
      <c r="E280" s="76">
        <f t="shared" si="18"/>
        <v>110</v>
      </c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0" customHeight="1">
      <c r="A281" s="73" t="s">
        <v>119</v>
      </c>
      <c r="B281" s="74" t="s">
        <v>57</v>
      </c>
      <c r="C281" s="72">
        <f>C258</f>
        <v>1.1</v>
      </c>
      <c r="D281" s="104">
        <v>1000.0</v>
      </c>
      <c r="E281" s="76">
        <f t="shared" si="18"/>
        <v>1100</v>
      </c>
      <c r="F281" s="79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0" customHeight="1">
      <c r="A282" s="90" t="s">
        <v>120</v>
      </c>
      <c r="B282" s="122" t="s">
        <v>23</v>
      </c>
      <c r="C282" s="122">
        <v>12.0</v>
      </c>
      <c r="D282" s="91">
        <f>SUM(E279:E281)</f>
        <v>9862.6</v>
      </c>
      <c r="E282" s="91">
        <f>D282/C282</f>
        <v>821.8833333</v>
      </c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0" customHeight="1">
      <c r="A283" s="1"/>
      <c r="B283" s="1"/>
      <c r="C283" s="1"/>
      <c r="D283" s="84" t="s">
        <v>35</v>
      </c>
      <c r="E283" s="85">
        <f>$B$48</f>
        <v>1</v>
      </c>
      <c r="F283" s="86">
        <f>E282*E283</f>
        <v>821.8833333</v>
      </c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0" customHeight="1">
      <c r="A284" s="1"/>
      <c r="B284" s="1"/>
      <c r="C284" s="1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0" customHeight="1">
      <c r="A285" s="1" t="s">
        <v>164</v>
      </c>
      <c r="B285" s="136"/>
      <c r="C285" s="1"/>
      <c r="D285" s="3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0" customHeight="1">
      <c r="A286" s="1"/>
      <c r="B286" s="136"/>
      <c r="C286" s="1"/>
      <c r="D286" s="3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0" customHeight="1">
      <c r="A287" s="90" t="s">
        <v>122</v>
      </c>
      <c r="B287" s="137">
        <v>2600.0</v>
      </c>
      <c r="C287" s="1"/>
      <c r="D287" s="3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0" customHeight="1">
      <c r="A288" s="1"/>
      <c r="B288" s="136"/>
      <c r="C288" s="1"/>
      <c r="D288" s="3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0" customHeight="1">
      <c r="A289" s="65" t="s">
        <v>17</v>
      </c>
      <c r="B289" s="66" t="s">
        <v>18</v>
      </c>
      <c r="C289" s="66" t="s">
        <v>123</v>
      </c>
      <c r="D289" s="67" t="s">
        <v>19</v>
      </c>
      <c r="E289" s="67" t="s">
        <v>20</v>
      </c>
      <c r="F289" s="68" t="s">
        <v>165</v>
      </c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0" customHeight="1">
      <c r="A290" s="120" t="s">
        <v>166</v>
      </c>
      <c r="B290" s="70" t="s">
        <v>126</v>
      </c>
      <c r="C290" s="148">
        <v>12.0</v>
      </c>
      <c r="D290" s="149">
        <v>6.09</v>
      </c>
      <c r="E290" s="72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0" customHeight="1">
      <c r="A291" s="150" t="s">
        <v>167</v>
      </c>
      <c r="B291" s="74" t="s">
        <v>128</v>
      </c>
      <c r="C291" s="96">
        <f>B287</f>
        <v>2600</v>
      </c>
      <c r="D291" s="151">
        <f>IFERROR(+D290/C290,"-")</f>
        <v>0.5075</v>
      </c>
      <c r="E291" s="76">
        <f>IFERROR(C291*D291,"-")</f>
        <v>1319.5</v>
      </c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0" customHeight="1">
      <c r="A292" s="73" t="s">
        <v>131</v>
      </c>
      <c r="B292" s="74" t="s">
        <v>132</v>
      </c>
      <c r="C292" s="138">
        <v>5.0</v>
      </c>
      <c r="D292" s="104">
        <v>20.0</v>
      </c>
      <c r="E292" s="76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0" customHeight="1">
      <c r="A293" s="73" t="s">
        <v>133</v>
      </c>
      <c r="B293" s="74" t="s">
        <v>128</v>
      </c>
      <c r="C293" s="96">
        <f>C291</f>
        <v>2600</v>
      </c>
      <c r="D293" s="140">
        <f>+C292*D292/1000</f>
        <v>0.1</v>
      </c>
      <c r="E293" s="76">
        <f>C293*D293</f>
        <v>260</v>
      </c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0" customHeight="1">
      <c r="A294" s="73" t="s">
        <v>134</v>
      </c>
      <c r="B294" s="74" t="s">
        <v>132</v>
      </c>
      <c r="C294" s="152">
        <v>0.0</v>
      </c>
      <c r="D294" s="104">
        <v>23.0</v>
      </c>
      <c r="E294" s="76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0" customHeight="1">
      <c r="A295" s="73" t="s">
        <v>135</v>
      </c>
      <c r="B295" s="74" t="s">
        <v>128</v>
      </c>
      <c r="C295" s="96">
        <f>C291</f>
        <v>2600</v>
      </c>
      <c r="D295" s="140">
        <f>+C294*D294/1000</f>
        <v>0</v>
      </c>
      <c r="E295" s="76">
        <f>C295*D295</f>
        <v>0</v>
      </c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0" customHeight="1">
      <c r="A296" s="73" t="s">
        <v>136</v>
      </c>
      <c r="B296" s="74" t="s">
        <v>132</v>
      </c>
      <c r="C296" s="152">
        <v>1.0</v>
      </c>
      <c r="D296" s="104">
        <v>25.0</v>
      </c>
      <c r="E296" s="76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0" customHeight="1">
      <c r="A297" s="73" t="s">
        <v>137</v>
      </c>
      <c r="B297" s="74" t="s">
        <v>128</v>
      </c>
      <c r="C297" s="96">
        <f>C291</f>
        <v>2600</v>
      </c>
      <c r="D297" s="140">
        <f>+C296*D296/1000</f>
        <v>0.025</v>
      </c>
      <c r="E297" s="76">
        <f>C297*D297</f>
        <v>65</v>
      </c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0" customHeight="1">
      <c r="A298" s="73" t="s">
        <v>138</v>
      </c>
      <c r="B298" s="74" t="s">
        <v>139</v>
      </c>
      <c r="C298" s="152">
        <v>0.0</v>
      </c>
      <c r="D298" s="104">
        <v>27.0</v>
      </c>
      <c r="E298" s="76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0" customHeight="1">
      <c r="A299" s="73" t="s">
        <v>168</v>
      </c>
      <c r="B299" s="74" t="s">
        <v>128</v>
      </c>
      <c r="C299" s="96">
        <f>C291</f>
        <v>2600</v>
      </c>
      <c r="D299" s="140">
        <f>+C298*D298/1000</f>
        <v>0</v>
      </c>
      <c r="E299" s="76">
        <f>C299*D299</f>
        <v>0</v>
      </c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0" customHeight="1">
      <c r="A300" s="90" t="s">
        <v>140</v>
      </c>
      <c r="B300" s="122" t="s">
        <v>141</v>
      </c>
      <c r="C300" s="143"/>
      <c r="D300" s="144">
        <f>IFERROR(D291+D293+D295+D297+D299,0)</f>
        <v>0.6325</v>
      </c>
      <c r="E300" s="76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0" customHeight="1">
      <c r="A301" s="1"/>
      <c r="B301" s="1"/>
      <c r="C301" s="1"/>
      <c r="D301" s="3"/>
      <c r="E301" s="3"/>
      <c r="F301" s="118">
        <f>SUM(E290:E299)</f>
        <v>1644.5</v>
      </c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0" customHeight="1">
      <c r="A302" s="1"/>
      <c r="B302" s="1"/>
      <c r="C302" s="1"/>
      <c r="D302" s="3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0" customHeight="1">
      <c r="A303" s="1" t="s">
        <v>169</v>
      </c>
      <c r="B303" s="1"/>
      <c r="C303" s="1"/>
      <c r="D303" s="3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0" customHeight="1">
      <c r="A304" s="65" t="s">
        <v>17</v>
      </c>
      <c r="B304" s="66" t="s">
        <v>18</v>
      </c>
      <c r="C304" s="66" t="s">
        <v>11</v>
      </c>
      <c r="D304" s="67" t="s">
        <v>19</v>
      </c>
      <c r="E304" s="67" t="s">
        <v>20</v>
      </c>
      <c r="F304" s="68" t="s">
        <v>170</v>
      </c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0" customHeight="1">
      <c r="A305" s="69" t="s">
        <v>171</v>
      </c>
      <c r="B305" s="70" t="s">
        <v>141</v>
      </c>
      <c r="C305" s="96">
        <f>C291</f>
        <v>2600</v>
      </c>
      <c r="D305" s="71">
        <v>1.6778523</v>
      </c>
      <c r="E305" s="72">
        <f>C305*D305</f>
        <v>4362.41598</v>
      </c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0" customHeight="1">
      <c r="A306" s="1"/>
      <c r="B306" s="1"/>
      <c r="C306" s="1"/>
      <c r="D306" s="3"/>
      <c r="E306" s="3"/>
      <c r="F306" s="118">
        <f>E305</f>
        <v>4362.41598</v>
      </c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0" customHeight="1">
      <c r="A307" s="1"/>
      <c r="B307" s="1"/>
      <c r="C307" s="1"/>
      <c r="D307" s="3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0" customHeight="1">
      <c r="A308" s="1" t="s">
        <v>172</v>
      </c>
      <c r="B308" s="1"/>
      <c r="C308" s="1"/>
      <c r="D308" s="3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0" customHeight="1">
      <c r="A309" s="65" t="s">
        <v>17</v>
      </c>
      <c r="B309" s="66" t="s">
        <v>18</v>
      </c>
      <c r="C309" s="66" t="s">
        <v>11</v>
      </c>
      <c r="D309" s="67" t="s">
        <v>19</v>
      </c>
      <c r="E309" s="67" t="s">
        <v>20</v>
      </c>
      <c r="F309" s="68" t="s">
        <v>173</v>
      </c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0" customHeight="1">
      <c r="A310" s="69" t="s">
        <v>174</v>
      </c>
      <c r="B310" s="70" t="s">
        <v>57</v>
      </c>
      <c r="C310" s="145">
        <v>4.0</v>
      </c>
      <c r="D310" s="71">
        <v>1100.0</v>
      </c>
      <c r="E310" s="72">
        <f>C310*D310</f>
        <v>4400</v>
      </c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0" customHeight="1">
      <c r="A311" s="69" t="s">
        <v>148</v>
      </c>
      <c r="B311" s="70" t="s">
        <v>57</v>
      </c>
      <c r="C311" s="145">
        <v>0.0</v>
      </c>
      <c r="D311" s="72"/>
      <c r="E311" s="72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0" customHeight="1">
      <c r="A312" s="69" t="s">
        <v>149</v>
      </c>
      <c r="B312" s="70" t="s">
        <v>57</v>
      </c>
      <c r="C312" s="72">
        <f>C310*C311</f>
        <v>0</v>
      </c>
      <c r="D312" s="71">
        <v>0.0</v>
      </c>
      <c r="E312" s="72">
        <f>C312*D312</f>
        <v>0</v>
      </c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0" customHeight="1">
      <c r="A313" s="73" t="s">
        <v>175</v>
      </c>
      <c r="B313" s="74" t="s">
        <v>151</v>
      </c>
      <c r="C313" s="146">
        <v>50000.0</v>
      </c>
      <c r="D313" s="76">
        <f>E310+E312</f>
        <v>4400</v>
      </c>
      <c r="E313" s="76">
        <f>IFERROR(D313/C313,"-")</f>
        <v>0.088</v>
      </c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0" customHeight="1">
      <c r="A314" s="73" t="s">
        <v>152</v>
      </c>
      <c r="B314" s="74" t="s">
        <v>128</v>
      </c>
      <c r="C314" s="96">
        <f>B287</f>
        <v>2600</v>
      </c>
      <c r="D314" s="76">
        <f>E313</f>
        <v>0.088</v>
      </c>
      <c r="E314" s="76">
        <f>IFERROR(C314*D314,0)</f>
        <v>228.8</v>
      </c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0" customHeight="1">
      <c r="A315" s="1"/>
      <c r="B315" s="1"/>
      <c r="C315" s="1"/>
      <c r="D315" s="3"/>
      <c r="E315" s="3"/>
      <c r="F315" s="118">
        <f>E314</f>
        <v>228.8</v>
      </c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0" customHeight="1">
      <c r="A316" s="1"/>
      <c r="B316" s="1"/>
      <c r="C316" s="1"/>
      <c r="D316" s="3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0" customHeight="1">
      <c r="A317" s="105" t="s">
        <v>176</v>
      </c>
      <c r="B317" s="106"/>
      <c r="C317" s="106"/>
      <c r="D317" s="40"/>
      <c r="E317" s="107"/>
      <c r="F317" s="118">
        <f>+SUM(F169:F315)</f>
        <v>72630.44543</v>
      </c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0" customHeight="1">
      <c r="A318" s="1"/>
      <c r="B318" s="1"/>
      <c r="C318" s="1"/>
      <c r="D318" s="3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0" customHeight="1">
      <c r="A319" s="27" t="s">
        <v>177</v>
      </c>
      <c r="B319" s="27"/>
      <c r="C319" s="27"/>
      <c r="D319" s="26"/>
      <c r="E319" s="26"/>
      <c r="F319" s="79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0" customHeight="1">
      <c r="A320" s="1"/>
      <c r="B320" s="1"/>
      <c r="C320" s="1"/>
      <c r="D320" s="3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0" customHeight="1">
      <c r="A321" s="65" t="s">
        <v>17</v>
      </c>
      <c r="B321" s="66" t="s">
        <v>18</v>
      </c>
      <c r="C321" s="66" t="s">
        <v>11</v>
      </c>
      <c r="D321" s="67" t="s">
        <v>19</v>
      </c>
      <c r="E321" s="67" t="s">
        <v>20</v>
      </c>
      <c r="F321" s="68" t="s">
        <v>178</v>
      </c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0" customHeight="1">
      <c r="A322" s="73" t="s">
        <v>179</v>
      </c>
      <c r="B322" s="74" t="s">
        <v>57</v>
      </c>
      <c r="C322" s="114">
        <v>0.5</v>
      </c>
      <c r="D322" s="110">
        <v>52.09</v>
      </c>
      <c r="E322" s="76">
        <f t="shared" ref="E322:E326" si="19">C322*D322</f>
        <v>26.045</v>
      </c>
      <c r="F322" s="12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0" customHeight="1">
      <c r="A323" s="73" t="s">
        <v>180</v>
      </c>
      <c r="B323" s="74" t="s">
        <v>57</v>
      </c>
      <c r="C323" s="114">
        <v>0.16666666666666666</v>
      </c>
      <c r="D323" s="110">
        <v>47.99</v>
      </c>
      <c r="E323" s="76">
        <f t="shared" si="19"/>
        <v>7.998333333</v>
      </c>
      <c r="F323" s="12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0" customHeight="1">
      <c r="A324" s="73" t="s">
        <v>181</v>
      </c>
      <c r="B324" s="74" t="s">
        <v>57</v>
      </c>
      <c r="C324" s="114">
        <v>0.16666666666666666</v>
      </c>
      <c r="D324" s="110">
        <v>49.36</v>
      </c>
      <c r="E324" s="76">
        <f t="shared" si="19"/>
        <v>8.226666667</v>
      </c>
      <c r="F324" s="12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0" customHeight="1">
      <c r="A325" s="73" t="s">
        <v>182</v>
      </c>
      <c r="B325" s="74" t="s">
        <v>57</v>
      </c>
      <c r="C325" s="114">
        <v>0.3333333333333333</v>
      </c>
      <c r="D325" s="110">
        <v>14.99</v>
      </c>
      <c r="E325" s="76">
        <f t="shared" si="19"/>
        <v>4.996666667</v>
      </c>
      <c r="F325" s="12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0" customHeight="1">
      <c r="A326" s="73" t="s">
        <v>183</v>
      </c>
      <c r="B326" s="74" t="s">
        <v>184</v>
      </c>
      <c r="C326" s="114">
        <v>0.08333333333333333</v>
      </c>
      <c r="D326" s="110">
        <v>300.0</v>
      </c>
      <c r="E326" s="76">
        <f t="shared" si="19"/>
        <v>25</v>
      </c>
      <c r="F326" s="12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0" customHeight="1">
      <c r="A327" s="27"/>
      <c r="B327" s="27"/>
      <c r="C327" s="27"/>
      <c r="D327" s="27"/>
      <c r="E327" s="26"/>
      <c r="F327" s="118">
        <f>SUM(E322:E326)</f>
        <v>72.26666667</v>
      </c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0" customHeight="1">
      <c r="A328" s="1"/>
      <c r="B328" s="1"/>
      <c r="C328" s="1"/>
      <c r="D328" s="3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0" customHeight="1">
      <c r="A329" s="105" t="s">
        <v>185</v>
      </c>
      <c r="B329" s="106"/>
      <c r="C329" s="106"/>
      <c r="D329" s="40"/>
      <c r="E329" s="107"/>
      <c r="F329" s="118">
        <f>+F327</f>
        <v>72.26666667</v>
      </c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0" customHeight="1">
      <c r="A330" s="1"/>
      <c r="B330" s="1"/>
      <c r="C330" s="1"/>
      <c r="D330" s="3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0" customHeight="1">
      <c r="A331" s="27" t="s">
        <v>186</v>
      </c>
      <c r="B331" s="27"/>
      <c r="C331" s="27"/>
      <c r="D331" s="26"/>
      <c r="E331" s="26"/>
      <c r="F331" s="79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0" customHeight="1">
      <c r="A332" s="1"/>
      <c r="B332" s="1"/>
      <c r="C332" s="1"/>
      <c r="D332" s="3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0" customHeight="1">
      <c r="A333" s="65" t="s">
        <v>17</v>
      </c>
      <c r="B333" s="66" t="s">
        <v>18</v>
      </c>
      <c r="C333" s="66" t="s">
        <v>11</v>
      </c>
      <c r="D333" s="67" t="s">
        <v>19</v>
      </c>
      <c r="E333" s="67" t="s">
        <v>20</v>
      </c>
      <c r="F333" s="68" t="s">
        <v>187</v>
      </c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0" customHeight="1">
      <c r="A334" s="73" t="s">
        <v>188</v>
      </c>
      <c r="B334" s="153" t="s">
        <v>184</v>
      </c>
      <c r="C334" s="60">
        <v>4.0</v>
      </c>
      <c r="D334" s="104">
        <v>180.0</v>
      </c>
      <c r="E334" s="76">
        <f>+D334*C334</f>
        <v>720</v>
      </c>
      <c r="F334" s="12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0" customHeight="1">
      <c r="A335" s="73" t="s">
        <v>189</v>
      </c>
      <c r="B335" s="153" t="s">
        <v>23</v>
      </c>
      <c r="C335" s="74">
        <v>60.0</v>
      </c>
      <c r="D335" s="154">
        <f>SUM(E334)</f>
        <v>720</v>
      </c>
      <c r="E335" s="154">
        <f>+D335/C335</f>
        <v>12</v>
      </c>
      <c r="F335" s="12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0" customHeight="1">
      <c r="A336" s="73" t="s">
        <v>190</v>
      </c>
      <c r="B336" s="74" t="s">
        <v>57</v>
      </c>
      <c r="C336" s="60">
        <f>+C334</f>
        <v>4</v>
      </c>
      <c r="D336" s="104">
        <v>80.0</v>
      </c>
      <c r="E336" s="76">
        <f>C336*D336</f>
        <v>320</v>
      </c>
      <c r="F336" s="12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0" customHeight="1">
      <c r="A337" s="73" t="s">
        <v>191</v>
      </c>
      <c r="B337" s="153" t="s">
        <v>23</v>
      </c>
      <c r="C337" s="74">
        <v>1.0</v>
      </c>
      <c r="D337" s="76">
        <f>+E336</f>
        <v>320</v>
      </c>
      <c r="E337" s="76">
        <f>+D337/C337</f>
        <v>320</v>
      </c>
      <c r="F337" s="12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0" customHeight="1">
      <c r="A338" s="82"/>
      <c r="B338" s="82"/>
      <c r="C338" s="82"/>
      <c r="D338" s="84" t="s">
        <v>35</v>
      </c>
      <c r="E338" s="85">
        <f>$B$48</f>
        <v>1</v>
      </c>
      <c r="F338" s="118">
        <f>(E335+E337)*E338</f>
        <v>332</v>
      </c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0" customHeight="1">
      <c r="A339" s="1"/>
      <c r="B339" s="1"/>
      <c r="C339" s="1"/>
      <c r="D339" s="3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0" customHeight="1">
      <c r="A340" s="105" t="s">
        <v>192</v>
      </c>
      <c r="B340" s="106"/>
      <c r="C340" s="106"/>
      <c r="D340" s="40"/>
      <c r="E340" s="107"/>
      <c r="F340" s="118">
        <f>+F338</f>
        <v>332</v>
      </c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0" customHeight="1">
      <c r="A341" s="1"/>
      <c r="B341" s="1"/>
      <c r="C341" s="1"/>
      <c r="D341" s="3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0" customHeight="1">
      <c r="A342" s="105" t="s">
        <v>193</v>
      </c>
      <c r="B342" s="115"/>
      <c r="C342" s="115"/>
      <c r="D342" s="116"/>
      <c r="E342" s="117"/>
      <c r="F342" s="103">
        <f>+F127+F161+F317+F329+F340</f>
        <v>193807.0132</v>
      </c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0" customHeight="1">
      <c r="A343" s="1"/>
      <c r="B343" s="1"/>
      <c r="C343" s="1"/>
      <c r="D343" s="3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0" customHeight="1">
      <c r="A344" s="27" t="s">
        <v>194</v>
      </c>
      <c r="B344" s="1"/>
      <c r="C344" s="1"/>
      <c r="D344" s="3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0" customHeight="1">
      <c r="A345" s="1"/>
      <c r="B345" s="1"/>
      <c r="C345" s="1"/>
      <c r="D345" s="3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0" customHeight="1">
      <c r="A346" s="65" t="s">
        <v>17</v>
      </c>
      <c r="B346" s="66" t="s">
        <v>18</v>
      </c>
      <c r="C346" s="66" t="s">
        <v>11</v>
      </c>
      <c r="D346" s="67" t="s">
        <v>19</v>
      </c>
      <c r="E346" s="67" t="s">
        <v>20</v>
      </c>
      <c r="F346" s="68" t="s">
        <v>195</v>
      </c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0" customHeight="1">
      <c r="A347" s="69" t="s">
        <v>196</v>
      </c>
      <c r="B347" s="70" t="s">
        <v>5</v>
      </c>
      <c r="C347" s="81">
        <f>'4.BDI'!C13*100</f>
        <v>31.06</v>
      </c>
      <c r="D347" s="72">
        <f>+F342</f>
        <v>193807.0132</v>
      </c>
      <c r="E347" s="72">
        <f>C347*D347/100</f>
        <v>60196.45831</v>
      </c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0" customHeight="1">
      <c r="A348" s="1"/>
      <c r="B348" s="1"/>
      <c r="C348" s="1"/>
      <c r="D348" s="3"/>
      <c r="E348" s="3"/>
      <c r="F348" s="118">
        <f>+E347</f>
        <v>60196.45831</v>
      </c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0" customHeight="1">
      <c r="A349" s="1"/>
      <c r="B349" s="1"/>
      <c r="C349" s="1"/>
      <c r="D349" s="3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0" customHeight="1">
      <c r="A350" s="105" t="s">
        <v>197</v>
      </c>
      <c r="B350" s="115"/>
      <c r="C350" s="115"/>
      <c r="D350" s="116"/>
      <c r="E350" s="117"/>
      <c r="F350" s="103">
        <f>F348</f>
        <v>60196.45831</v>
      </c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0" customHeight="1">
      <c r="A351" s="27"/>
      <c r="B351" s="27"/>
      <c r="C351" s="27"/>
      <c r="D351" s="26"/>
      <c r="E351" s="26"/>
      <c r="F351" s="79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0" customHeight="1">
      <c r="A352" s="1"/>
      <c r="B352" s="1"/>
      <c r="C352" s="1"/>
      <c r="D352" s="3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0" customHeight="1">
      <c r="A353" s="105" t="s">
        <v>198</v>
      </c>
      <c r="B353" s="115"/>
      <c r="C353" s="115"/>
      <c r="D353" s="116"/>
      <c r="E353" s="117"/>
      <c r="F353" s="103">
        <f>F342+F350</f>
        <v>254003.4716</v>
      </c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0" customHeight="1">
      <c r="A354" s="155"/>
      <c r="B354" s="155"/>
      <c r="C354" s="155"/>
      <c r="D354" s="156"/>
      <c r="E354" s="156"/>
      <c r="F354" s="156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0" customHeight="1">
      <c r="A355" s="8"/>
      <c r="B355" s="8"/>
      <c r="C355" s="8"/>
      <c r="D355" s="7"/>
      <c r="E355" s="7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0" customHeight="1">
      <c r="A356" s="157" t="s">
        <v>199</v>
      </c>
      <c r="B356" s="32"/>
      <c r="C356" s="32"/>
      <c r="D356" s="158">
        <v>747.0</v>
      </c>
      <c r="E356" s="159" t="s">
        <v>200</v>
      </c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0" customHeight="1">
      <c r="A357" s="1"/>
      <c r="B357" s="1"/>
      <c r="C357" s="1"/>
      <c r="D357" s="3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0" customHeight="1">
      <c r="A358" s="105" t="s">
        <v>201</v>
      </c>
      <c r="B358" s="106"/>
      <c r="C358" s="106"/>
      <c r="D358" s="40"/>
      <c r="E358" s="160" t="s">
        <v>202</v>
      </c>
      <c r="F358" s="161">
        <f>F353/D356</f>
        <v>340.0314211</v>
      </c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3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3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3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3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3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3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3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3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3"/>
      <c r="E367" s="3"/>
      <c r="F367" s="3"/>
      <c r="G367" s="1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3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3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3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3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3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3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3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3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3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3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3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3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3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3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3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3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3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3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3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3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3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3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3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3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3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3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3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3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3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3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3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3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3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3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3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3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3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3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3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3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3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3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3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3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3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3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3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3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3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3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3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3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3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3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3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3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3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3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3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3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3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3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3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3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3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3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3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3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3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3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3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3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3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3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3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3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3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3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3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3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3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3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3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3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3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3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3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3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3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3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3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3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3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3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3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3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3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3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3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3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3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3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3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3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3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3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3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3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3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3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3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3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3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3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3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3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3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3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3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3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3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3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3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3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3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3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3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3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3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3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3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3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3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3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3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3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3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3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3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3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3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3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3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3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3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3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3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3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3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3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3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3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3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3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3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3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3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3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3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3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3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3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3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3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3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3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3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3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3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3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3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3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3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3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3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3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3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3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3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3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3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3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3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3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3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3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04:E104"/>
    <mergeCell ref="A182:D182"/>
    <mergeCell ref="A199:D199"/>
    <mergeCell ref="A356:C356"/>
    <mergeCell ref="A2:F2"/>
    <mergeCell ref="A3:F3"/>
    <mergeCell ref="A5:F5"/>
    <mergeCell ref="A15:C15"/>
    <mergeCell ref="A37:E37"/>
    <mergeCell ref="A38:D38"/>
    <mergeCell ref="A44:D44"/>
  </mergeCells>
  <hyperlinks>
    <hyperlink display="         3.1.1. Depreciação         " location="Google_Sheet_Link_1183645163" ref="A18"/>
    <hyperlink display="         3.1.2. Remuneração do Capital         " location="Google_Sheet_Link_912072401" ref="A19"/>
    <hyperlink display="         3.1.1. Depreciação         " location="Google_Sheet_Link_1314515019" ref="A25"/>
    <hyperlink display="         3.1.2. Remuneração do Capital         " location="Google_Sheet_Link_922699440" ref="A26"/>
    <hyperlink display="3.1.1. Depreciação" location="Google_Sheet_Link_1183645163" ref="A167"/>
    <hyperlink display="3.1.2. Remuneração do Capital" location="Google_Sheet_Link_912072401" ref="A184"/>
    <hyperlink display="3.1.1. Depreciação" location="Google_Sheet_Link_1314515019" ref="A245"/>
    <hyperlink display="3.1.2. Remuneração do Capital" location="Google_Sheet_Link_922699440" ref="A261"/>
  </hyperlinks>
  <printOptions/>
  <pageMargins bottom="1.1811023622047243" footer="0.0" header="0.0" left="0.9055118110236221" right="0.5118110236220472" top="0.7480314960629921"/>
  <pageSetup fitToHeight="0" paperSize="9" orientation="portrait"/>
  <headerFooter>
    <oddFooter>&amp;R&amp;P de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39.63"/>
    <col customWidth="1" min="3" max="3" width="14.63"/>
    <col customWidth="1" min="4" max="4" width="37.25"/>
    <col customWidth="1" min="5" max="10" width="9.13"/>
    <col customWidth="1" min="11" max="11" width="11.0"/>
    <col customWidth="1" min="12" max="23" width="9.13"/>
  </cols>
  <sheetData>
    <row r="1" ht="15.0" customHeight="1">
      <c r="A1" s="163" t="s">
        <v>203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ht="15.0" customHeight="1">
      <c r="A2" s="165" t="s">
        <v>204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ht="15.0" customHeight="1">
      <c r="A3" s="166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ht="15.0" customHeight="1">
      <c r="A4" s="167" t="s">
        <v>205</v>
      </c>
      <c r="B4" s="168"/>
      <c r="C4" s="169"/>
      <c r="D4" s="170"/>
      <c r="E4" s="170"/>
      <c r="F4" s="170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ht="15.0" customHeight="1">
      <c r="A5" s="171" t="s">
        <v>206</v>
      </c>
      <c r="B5" s="172" t="s">
        <v>207</v>
      </c>
      <c r="C5" s="173" t="s">
        <v>208</v>
      </c>
      <c r="D5" s="17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</row>
    <row r="6" ht="15.0" customHeight="1">
      <c r="A6" s="171" t="s">
        <v>209</v>
      </c>
      <c r="B6" s="172" t="s">
        <v>210</v>
      </c>
      <c r="C6" s="175">
        <v>0.2</v>
      </c>
      <c r="D6" s="17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ht="15.0" customHeight="1">
      <c r="A7" s="171" t="s">
        <v>211</v>
      </c>
      <c r="B7" s="172" t="s">
        <v>212</v>
      </c>
      <c r="C7" s="175">
        <v>0.015</v>
      </c>
      <c r="D7" s="17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ht="15.0" customHeight="1">
      <c r="A8" s="171" t="s">
        <v>213</v>
      </c>
      <c r="B8" s="172" t="s">
        <v>214</v>
      </c>
      <c r="C8" s="175">
        <v>0.01</v>
      </c>
      <c r="D8" s="17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</row>
    <row r="9" ht="15.0" customHeight="1">
      <c r="A9" s="171" t="s">
        <v>215</v>
      </c>
      <c r="B9" s="172" t="s">
        <v>216</v>
      </c>
      <c r="C9" s="175">
        <v>0.002</v>
      </c>
      <c r="D9" s="17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15.0" customHeight="1">
      <c r="A10" s="171" t="s">
        <v>217</v>
      </c>
      <c r="B10" s="172" t="s">
        <v>218</v>
      </c>
      <c r="C10" s="175">
        <v>0.006</v>
      </c>
      <c r="D10" s="17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15.0" customHeight="1">
      <c r="A11" s="171" t="s">
        <v>219</v>
      </c>
      <c r="B11" s="172" t="s">
        <v>220</v>
      </c>
      <c r="C11" s="175">
        <v>0.025</v>
      </c>
      <c r="D11" s="17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15.0" customHeight="1">
      <c r="A12" s="171" t="s">
        <v>221</v>
      </c>
      <c r="B12" s="172" t="s">
        <v>222</v>
      </c>
      <c r="C12" s="175">
        <v>0.03</v>
      </c>
      <c r="D12" s="17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15.0" customHeight="1">
      <c r="A13" s="171" t="s">
        <v>223</v>
      </c>
      <c r="B13" s="172" t="s">
        <v>224</v>
      </c>
      <c r="C13" s="175">
        <v>0.08</v>
      </c>
      <c r="D13" s="17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15.0" customHeight="1">
      <c r="A14" s="171" t="s">
        <v>225</v>
      </c>
      <c r="B14" s="176" t="s">
        <v>226</v>
      </c>
      <c r="C14" s="177">
        <f>SUM(C6:C13)</f>
        <v>0.368</v>
      </c>
      <c r="D14" s="17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15.0" customHeight="1">
      <c r="A15" s="178"/>
      <c r="B15" s="179"/>
      <c r="C15" s="180"/>
      <c r="D15" s="17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15.0" customHeight="1">
      <c r="A16" s="171" t="s">
        <v>227</v>
      </c>
      <c r="B16" s="181" t="s">
        <v>228</v>
      </c>
      <c r="C16" s="175">
        <f>ROUND(IF('3.CAGED'!B24&gt;24,(1-12/'3.CAGED'!B24)*0.1111,0.1111-C25),4)</f>
        <v>0.0619</v>
      </c>
      <c r="D16" s="17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ht="15.0" customHeight="1">
      <c r="A17" s="171" t="s">
        <v>229</v>
      </c>
      <c r="B17" s="181" t="s">
        <v>230</v>
      </c>
      <c r="C17" s="175">
        <f>ROUND('3.CAGED'!B28/'3.CAGED'!B25,4)</f>
        <v>0.0833</v>
      </c>
      <c r="D17" s="17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ht="15.0" customHeight="1">
      <c r="A18" s="171" t="s">
        <v>231</v>
      </c>
      <c r="B18" s="181" t="s">
        <v>232</v>
      </c>
      <c r="C18" s="175">
        <v>6.0E-4</v>
      </c>
      <c r="D18" s="17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ht="15.0" customHeight="1">
      <c r="A19" s="171" t="s">
        <v>233</v>
      </c>
      <c r="B19" s="181" t="s">
        <v>234</v>
      </c>
      <c r="C19" s="175">
        <v>0.0082</v>
      </c>
      <c r="D19" s="17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ht="15.0" customHeight="1">
      <c r="A20" s="171" t="s">
        <v>235</v>
      </c>
      <c r="B20" s="181" t="s">
        <v>236</v>
      </c>
      <c r="C20" s="175">
        <v>0.0031</v>
      </c>
      <c r="D20" s="17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ht="15.0" customHeight="1">
      <c r="A21" s="171" t="s">
        <v>237</v>
      </c>
      <c r="B21" s="181" t="s">
        <v>238</v>
      </c>
      <c r="C21" s="175">
        <v>0.0166</v>
      </c>
      <c r="D21" s="17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ht="15.0" customHeight="1">
      <c r="A22" s="171" t="s">
        <v>239</v>
      </c>
      <c r="B22" s="176" t="s">
        <v>240</v>
      </c>
      <c r="C22" s="177">
        <f>SUM(C16:C21)</f>
        <v>0.1737</v>
      </c>
      <c r="D22" s="182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ht="15.0" customHeight="1">
      <c r="A23" s="178"/>
      <c r="B23" s="179"/>
      <c r="C23" s="180"/>
      <c r="D23" s="182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ht="15.0" customHeight="1">
      <c r="A24" s="171" t="s">
        <v>241</v>
      </c>
      <c r="B24" s="172" t="s">
        <v>242</v>
      </c>
      <c r="C24" s="175">
        <f>ROUND(('3.CAGED'!B29) *'3.CAGED'!B22/'3.CAGED'!B25,4)</f>
        <v>0.0256</v>
      </c>
      <c r="D24" s="174"/>
      <c r="E24" s="18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ht="15.0" customHeight="1">
      <c r="A25" s="171" t="s">
        <v>243</v>
      </c>
      <c r="B25" s="172" t="s">
        <v>244</v>
      </c>
      <c r="C25" s="175">
        <f>ROUND(IF('3.CAGED'!B24&gt;12,12/'3.CAGED'!B24*0.1111,0.1111),4)</f>
        <v>0.0492</v>
      </c>
      <c r="D25" s="174"/>
      <c r="E25" s="164"/>
      <c r="F25" s="164"/>
      <c r="G25" s="164"/>
      <c r="H25" s="18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ht="15.0" customHeight="1">
      <c r="A26" s="171" t="s">
        <v>245</v>
      </c>
      <c r="B26" s="172" t="s">
        <v>246</v>
      </c>
      <c r="C26" s="175">
        <f>C24*C25</f>
        <v>0.00125952</v>
      </c>
      <c r="D26" s="174"/>
      <c r="E26" s="18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ht="15.0" customHeight="1">
      <c r="A27" s="171" t="s">
        <v>247</v>
      </c>
      <c r="B27" s="172" t="s">
        <v>248</v>
      </c>
      <c r="C27" s="175">
        <f>ROUND(('3.CAGED'!B25+'3.CAGED'!B26+'3.CAGED'!B28)/'3.CAGED'!B23*'3.CAGED'!B30*'3.CAGED'!B31*'3.CAGED'!B22/'3.CAGED'!B25,4)</f>
        <v>0.0205</v>
      </c>
      <c r="D27" s="174"/>
      <c r="E27" s="164"/>
      <c r="F27" s="164"/>
      <c r="G27" s="183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ht="15.0" customHeight="1">
      <c r="A28" s="171" t="s">
        <v>249</v>
      </c>
      <c r="B28" s="172" t="s">
        <v>250</v>
      </c>
      <c r="C28" s="175">
        <f>ROUND(('3.CAGED'!B27/'3.CAGED'!B25)*'3.CAGED'!B22/12,4)</f>
        <v>0.0018</v>
      </c>
      <c r="D28" s="17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ht="15.0" customHeight="1">
      <c r="A29" s="171" t="s">
        <v>251</v>
      </c>
      <c r="B29" s="176" t="s">
        <v>252</v>
      </c>
      <c r="C29" s="177">
        <f>SUM(C24:C28)</f>
        <v>0.09835952</v>
      </c>
      <c r="D29" s="182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ht="15.0" customHeight="1">
      <c r="A30" s="178"/>
      <c r="B30" s="179"/>
      <c r="C30" s="180"/>
      <c r="D30" s="182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ht="15.0" customHeight="1">
      <c r="A31" s="171" t="s">
        <v>253</v>
      </c>
      <c r="B31" s="172" t="s">
        <v>254</v>
      </c>
      <c r="C31" s="175">
        <f>ROUND(C14*C22,4)</f>
        <v>0.0639</v>
      </c>
      <c r="D31" s="17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ht="15.0" customHeight="1">
      <c r="A32" s="171" t="s">
        <v>255</v>
      </c>
      <c r="B32" s="185" t="s">
        <v>256</v>
      </c>
      <c r="C32" s="175">
        <f>ROUND((C24*C13),4)</f>
        <v>0.002</v>
      </c>
      <c r="D32" s="17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ht="15.0" customHeight="1">
      <c r="A33" s="171" t="s">
        <v>257</v>
      </c>
      <c r="B33" s="176" t="s">
        <v>258</v>
      </c>
      <c r="C33" s="177">
        <f>SUM(C31:C32)</f>
        <v>0.0659</v>
      </c>
      <c r="D33" s="182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ht="15.0" customHeight="1">
      <c r="A34" s="186"/>
      <c r="B34" s="187" t="s">
        <v>259</v>
      </c>
      <c r="C34" s="188">
        <f>C33+C29+C22+C14</f>
        <v>0.70595952</v>
      </c>
      <c r="D34" s="182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ht="12.75" customHeight="1">
      <c r="A35" s="174"/>
      <c r="B35" s="189"/>
      <c r="C35" s="190"/>
      <c r="D35" s="191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ht="12.75" customHeight="1">
      <c r="A36" s="174"/>
      <c r="B36" s="174"/>
      <c r="C36" s="192"/>
      <c r="D36" s="19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ht="12.75" customHeight="1">
      <c r="A37" s="174"/>
      <c r="B37" s="174"/>
      <c r="C37" s="192"/>
      <c r="D37" s="17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ht="12.75" customHeight="1">
      <c r="A38" s="174"/>
      <c r="B38" s="174"/>
      <c r="C38" s="192"/>
      <c r="D38" s="17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ht="12.75" customHeight="1">
      <c r="A39" s="174"/>
      <c r="B39" s="174"/>
      <c r="C39" s="192"/>
      <c r="D39" s="17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ht="12.75" customHeight="1">
      <c r="A40" s="174"/>
      <c r="B40" s="189"/>
      <c r="C40" s="190"/>
      <c r="D40" s="17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ht="12.75" customHeight="1">
      <c r="A41" s="182"/>
      <c r="B41" s="189"/>
      <c r="C41" s="190"/>
      <c r="D41" s="182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ht="12.75" customHeight="1">
      <c r="A42" s="19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ht="12.75" customHeight="1">
      <c r="A43" s="195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ht="12.75" customHeight="1">
      <c r="A44" s="174"/>
      <c r="B44" s="196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ht="12.75" customHeight="1">
      <c r="A45" s="174"/>
      <c r="B45" s="196"/>
      <c r="C45" s="17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ht="12.75" customHeight="1">
      <c r="A46" s="174"/>
      <c r="B46" s="192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</row>
    <row r="47" ht="12.75" customHeight="1">
      <c r="A47" s="174"/>
      <c r="B47" s="196"/>
      <c r="C47" s="17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</row>
    <row r="48" ht="12.75" customHeight="1">
      <c r="A48" s="174"/>
      <c r="B48" s="192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</row>
    <row r="49" ht="12.75" customHeight="1">
      <c r="A49" s="174"/>
      <c r="B49" s="196"/>
      <c r="C49" s="17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</row>
    <row r="50" ht="12.75" customHeight="1">
      <c r="A50" s="174"/>
      <c r="B50" s="192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</row>
    <row r="51" ht="12.75" customHeight="1">
      <c r="A51" s="174"/>
      <c r="B51" s="196"/>
      <c r="C51" s="17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</row>
    <row r="52" ht="12.75" customHeight="1">
      <c r="A52" s="174"/>
      <c r="B52" s="192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</row>
    <row r="53" ht="12.75" customHeight="1">
      <c r="A53" s="19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</row>
    <row r="56" ht="12.75" customHeight="1">
      <c r="A56" s="119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</row>
    <row r="221" ht="12.75" customHeight="1">
      <c r="A221" s="164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</row>
    <row r="222" ht="12.75" customHeight="1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</row>
    <row r="223" ht="12.75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</row>
    <row r="224" ht="12.75" customHeight="1">
      <c r="A224" s="164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</row>
    <row r="225" ht="12.75" customHeight="1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</row>
    <row r="226" ht="12.75" customHeight="1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</row>
    <row r="227" ht="12.75" customHeight="1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</row>
    <row r="228" ht="12.75" customHeight="1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</row>
    <row r="229" ht="12.75" customHeight="1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</row>
    <row r="230" ht="12.75" customHeight="1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</row>
    <row r="231" ht="12.75" customHeight="1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</row>
    <row r="232" ht="12.75" customHeight="1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</row>
    <row r="233" ht="12.75" customHeight="1">
      <c r="A233" s="164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</row>
    <row r="234" ht="12.75" customHeight="1">
      <c r="A234" s="164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4:C4"/>
  </mergeCells>
  <printOptions/>
  <pageMargins bottom="0.7480314960629921" footer="0.0" header="0.0" left="0.984251968503937" right="0.5118110236220472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4.13"/>
    <col customWidth="1" min="2" max="2" width="13.75"/>
    <col customWidth="1" min="3" max="3" width="10.25"/>
    <col customWidth="1" min="4" max="4" width="13.75"/>
    <col customWidth="1" min="5" max="22" width="9.13"/>
  </cols>
  <sheetData>
    <row r="1" ht="42.0" customHeight="1">
      <c r="A1" s="197" t="s">
        <v>260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ht="15.0" customHeight="1">
      <c r="A2" s="164"/>
      <c r="B2" s="164"/>
      <c r="C2" s="164"/>
      <c r="D2" s="198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ht="15.0" customHeight="1">
      <c r="A3" s="199" t="s">
        <v>261</v>
      </c>
      <c r="B3" s="169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ht="15.0" customHeight="1">
      <c r="A4" s="200" t="s">
        <v>262</v>
      </c>
      <c r="B4" s="201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ht="15.0" customHeight="1">
      <c r="A5" s="202" t="s">
        <v>263</v>
      </c>
      <c r="B5" s="203">
        <v>2100.0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ht="15.0" customHeight="1">
      <c r="A6" s="204" t="s">
        <v>264</v>
      </c>
      <c r="B6" s="203">
        <v>2031.0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</row>
    <row r="7" ht="15.0" customHeight="1">
      <c r="A7" s="205" t="s">
        <v>265</v>
      </c>
      <c r="B7" s="206">
        <v>44.0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</row>
    <row r="8" ht="15.0" customHeight="1">
      <c r="A8" s="205" t="s">
        <v>266</v>
      </c>
      <c r="B8" s="206">
        <v>1192.0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ht="15.0" customHeight="1">
      <c r="A9" s="205" t="s">
        <v>267</v>
      </c>
      <c r="B9" s="206">
        <v>372.0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ht="15.0" customHeight="1">
      <c r="A10" s="205" t="s">
        <v>268</v>
      </c>
      <c r="B10" s="206">
        <v>22.0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ht="15.0" customHeight="1">
      <c r="A11" s="205" t="s">
        <v>269</v>
      </c>
      <c r="B11" s="206">
        <v>350.0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</row>
    <row r="12" ht="15.0" customHeight="1">
      <c r="A12" s="205" t="s">
        <v>270</v>
      </c>
      <c r="B12" s="206">
        <v>1.0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</row>
    <row r="13" ht="15.0" customHeight="1">
      <c r="A13" s="205" t="s">
        <v>271</v>
      </c>
      <c r="B13" s="206">
        <v>30.0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</row>
    <row r="14" ht="15.0" customHeight="1">
      <c r="A14" s="207" t="s">
        <v>272</v>
      </c>
      <c r="B14" s="208">
        <v>0.0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ht="15.0" customHeight="1">
      <c r="A15" s="209" t="s">
        <v>273</v>
      </c>
      <c r="B15" s="208">
        <v>0.0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ht="15.0" customHeight="1">
      <c r="A16" s="200" t="s">
        <v>274</v>
      </c>
      <c r="B16" s="201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ht="15.0" customHeight="1">
      <c r="A17" s="210" t="s">
        <v>275</v>
      </c>
      <c r="B17" s="211">
        <v>4625.0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ht="15.0" customHeight="1">
      <c r="A18" s="205" t="s">
        <v>276</v>
      </c>
      <c r="B18" s="206">
        <v>4694.0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ht="15.0" customHeight="1">
      <c r="A19" s="205" t="s">
        <v>277</v>
      </c>
      <c r="B19" s="212">
        <f>B5-B6</f>
        <v>69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ht="15.0" customHeight="1">
      <c r="A20" s="213"/>
      <c r="B20" s="21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ht="15.0" customHeight="1">
      <c r="A21" s="202" t="s">
        <v>278</v>
      </c>
      <c r="B21" s="215">
        <f>MEDIAN(B17,B18)</f>
        <v>4659.5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</row>
    <row r="22" ht="15.0" customHeight="1">
      <c r="A22" s="204" t="s">
        <v>279</v>
      </c>
      <c r="B22" s="217">
        <f>B8/B21</f>
        <v>0.2558214401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ht="15.0" customHeight="1">
      <c r="A23" s="204" t="s">
        <v>280</v>
      </c>
      <c r="B23" s="217">
        <f>MEDIAN(B5,B6)/B21</f>
        <v>0.4432879064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</row>
    <row r="24" ht="15.0" customHeight="1">
      <c r="A24" s="204" t="s">
        <v>281</v>
      </c>
      <c r="B24" s="218">
        <f>12/B23</f>
        <v>27.07044299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</row>
    <row r="25" ht="15.0" customHeight="1">
      <c r="A25" s="204" t="s">
        <v>282</v>
      </c>
      <c r="B25" s="219">
        <v>360.0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</row>
    <row r="26" ht="15.0" customHeight="1">
      <c r="A26" s="204" t="s">
        <v>283</v>
      </c>
      <c r="B26" s="219">
        <v>10.0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ht="15.0" customHeight="1">
      <c r="A27" s="202" t="s">
        <v>284</v>
      </c>
      <c r="B27" s="215">
        <v>30.0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ht="15.0" customHeight="1">
      <c r="A28" s="202" t="s">
        <v>285</v>
      </c>
      <c r="B28" s="215">
        <v>30.0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</row>
    <row r="29" ht="15.0" customHeight="1">
      <c r="A29" s="202" t="s">
        <v>286</v>
      </c>
      <c r="B29" s="215">
        <f>30+(3*TRUNC(1/B23))</f>
        <v>36</v>
      </c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</row>
    <row r="30" ht="15.0" customHeight="1">
      <c r="A30" s="204" t="s">
        <v>224</v>
      </c>
      <c r="B30" s="220">
        <v>0.08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</row>
    <row r="31" ht="15.0" customHeight="1">
      <c r="A31" s="221" t="s">
        <v>287</v>
      </c>
      <c r="B31" s="222">
        <v>0.4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</row>
    <row r="221" ht="12.75" customHeight="1">
      <c r="A221" s="164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</row>
    <row r="222" ht="12.75" customHeight="1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</row>
    <row r="223" ht="12.75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</row>
    <row r="224" ht="12.75" customHeight="1">
      <c r="A224" s="164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</row>
    <row r="225" ht="12.75" customHeight="1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</row>
    <row r="226" ht="12.75" customHeight="1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</row>
    <row r="227" ht="12.75" customHeight="1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</row>
    <row r="228" ht="12.75" customHeight="1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</row>
    <row r="229" ht="12.75" customHeight="1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</row>
    <row r="230" ht="12.75" customHeight="1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</row>
    <row r="231" ht="12.75" customHeight="1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B1"/>
    <mergeCell ref="A3:B3"/>
  </mergeCells>
  <printOptions/>
  <pageMargins bottom="0.7480314960629921" footer="0.0" header="0.0" left="0.905511811023622" right="0.5118110236220472" top="0.7480314960629921"/>
  <pageSetup paperSize="9" scale="9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88"/>
    <col customWidth="1" min="2" max="2" width="5.63"/>
    <col customWidth="1" min="3" max="3" width="8.63"/>
    <col customWidth="1" min="4" max="4" width="9.75"/>
    <col customWidth="1" min="5" max="5" width="8.0"/>
    <col customWidth="1" min="6" max="6" width="9.75"/>
    <col customWidth="1" min="7" max="26" width="8.63"/>
  </cols>
  <sheetData>
    <row r="1" ht="15.0" customHeight="1">
      <c r="A1" s="223" t="s">
        <v>288</v>
      </c>
      <c r="B1" s="5"/>
      <c r="C1" s="5"/>
      <c r="D1" s="5"/>
      <c r="E1" s="5"/>
      <c r="F1" s="6"/>
    </row>
    <row r="2" ht="15.0" customHeight="1">
      <c r="A2" s="224"/>
      <c r="B2" s="225"/>
      <c r="C2" s="225"/>
      <c r="D2" s="225"/>
      <c r="E2" s="225"/>
      <c r="F2" s="226"/>
    </row>
    <row r="3" ht="15.0" customHeight="1">
      <c r="A3" s="227"/>
      <c r="B3" s="8"/>
      <c r="C3" s="8"/>
      <c r="D3" s="228" t="s">
        <v>289</v>
      </c>
      <c r="E3" s="168"/>
      <c r="F3" s="169"/>
      <c r="G3" s="166"/>
      <c r="H3" s="166"/>
    </row>
    <row r="4" ht="15.0" customHeight="1">
      <c r="A4" s="213"/>
      <c r="B4" s="166"/>
      <c r="C4" s="166"/>
      <c r="D4" s="229" t="s">
        <v>290</v>
      </c>
      <c r="E4" s="230" t="s">
        <v>291</v>
      </c>
      <c r="F4" s="231" t="s">
        <v>292</v>
      </c>
      <c r="G4" s="166"/>
      <c r="H4" s="166"/>
    </row>
    <row r="5" ht="15.0" customHeight="1">
      <c r="A5" s="232" t="s">
        <v>293</v>
      </c>
      <c r="B5" s="233" t="s">
        <v>294</v>
      </c>
      <c r="C5" s="234">
        <v>0.03</v>
      </c>
      <c r="D5" s="235">
        <v>0.0297</v>
      </c>
      <c r="E5" s="236">
        <v>0.0508</v>
      </c>
      <c r="F5" s="237">
        <v>0.0627</v>
      </c>
      <c r="G5" s="166"/>
      <c r="H5" s="166"/>
    </row>
    <row r="6" ht="15.0" customHeight="1">
      <c r="A6" s="238" t="s">
        <v>295</v>
      </c>
      <c r="B6" s="239" t="s">
        <v>296</v>
      </c>
      <c r="C6" s="240">
        <v>0.0086</v>
      </c>
      <c r="D6" s="235">
        <f>0.3%+0.56%</f>
        <v>0.0086</v>
      </c>
      <c r="E6" s="236">
        <f>0.48%+0.85%</f>
        <v>0.0133</v>
      </c>
      <c r="F6" s="237">
        <f>0.82%+0.89%</f>
        <v>0.0171</v>
      </c>
      <c r="G6" s="166"/>
      <c r="H6" s="166"/>
    </row>
    <row r="7" ht="15.0" customHeight="1">
      <c r="A7" s="238" t="s">
        <v>297</v>
      </c>
      <c r="B7" s="239" t="s">
        <v>298</v>
      </c>
      <c r="C7" s="241">
        <v>0.1</v>
      </c>
      <c r="D7" s="235">
        <v>0.0778</v>
      </c>
      <c r="E7" s="236">
        <v>0.1085</v>
      </c>
      <c r="F7" s="237">
        <v>0.1355</v>
      </c>
      <c r="G7" s="166"/>
      <c r="H7" s="166"/>
    </row>
    <row r="8" ht="15.0" customHeight="1">
      <c r="A8" s="238" t="s">
        <v>299</v>
      </c>
      <c r="B8" s="239" t="s">
        <v>300</v>
      </c>
      <c r="C8" s="242">
        <f>(1+E8)^(E9/252)-1</f>
        <v>0.006677526515</v>
      </c>
      <c r="D8" s="235" t="s">
        <v>301</v>
      </c>
      <c r="E8" s="243">
        <v>0.15</v>
      </c>
      <c r="F8" s="244"/>
      <c r="G8" s="166"/>
      <c r="H8" s="166"/>
    </row>
    <row r="9" ht="15.0" customHeight="1">
      <c r="A9" s="238" t="s">
        <v>302</v>
      </c>
      <c r="B9" s="245" t="s">
        <v>303</v>
      </c>
      <c r="C9" s="240">
        <v>0.03</v>
      </c>
      <c r="D9" s="246" t="s">
        <v>304</v>
      </c>
      <c r="E9" s="247">
        <v>12.0</v>
      </c>
      <c r="F9" s="212"/>
      <c r="G9" s="166"/>
      <c r="H9" s="166"/>
    </row>
    <row r="10" ht="15.0" customHeight="1">
      <c r="A10" s="248" t="s">
        <v>305</v>
      </c>
      <c r="B10" s="249"/>
      <c r="C10" s="250">
        <v>0.0925</v>
      </c>
      <c r="D10" s="205"/>
      <c r="E10" s="251"/>
      <c r="F10" s="212"/>
      <c r="G10" s="166"/>
      <c r="H10" s="166"/>
    </row>
    <row r="11" ht="15.0" customHeight="1">
      <c r="A11" s="252" t="s">
        <v>306</v>
      </c>
      <c r="B11" s="253"/>
      <c r="C11" s="254"/>
      <c r="D11" s="205"/>
      <c r="E11" s="251"/>
      <c r="F11" s="212"/>
      <c r="G11" s="166"/>
      <c r="H11" s="166"/>
    </row>
    <row r="12" ht="15.0" customHeight="1">
      <c r="A12" s="255" t="s">
        <v>307</v>
      </c>
      <c r="B12" s="256"/>
      <c r="C12" s="257"/>
      <c r="D12" s="205"/>
      <c r="E12" s="251"/>
      <c r="F12" s="212"/>
      <c r="G12" s="166"/>
      <c r="H12" s="166"/>
    </row>
    <row r="13" ht="15.0" customHeight="1">
      <c r="A13" s="258" t="s">
        <v>308</v>
      </c>
      <c r="B13" s="259"/>
      <c r="C13" s="260">
        <f>ROUND((((1+C5+C6)*(1+C7)*(1+C8))/(1-(C9+C10))-1),4)</f>
        <v>0.3106</v>
      </c>
      <c r="D13" s="261">
        <v>0.2143</v>
      </c>
      <c r="E13" s="262">
        <v>0.2717</v>
      </c>
      <c r="F13" s="263">
        <v>0.3362</v>
      </c>
      <c r="G13" s="166"/>
      <c r="H13" s="166"/>
    </row>
    <row r="14" ht="12.75" customHeight="1">
      <c r="A14" s="166"/>
      <c r="B14" s="166"/>
      <c r="C14" s="166"/>
      <c r="D14" s="166"/>
      <c r="E14" s="264"/>
      <c r="F14" s="166"/>
      <c r="G14" s="166"/>
      <c r="H14" s="166"/>
    </row>
    <row r="15" ht="12.75" customHeight="1">
      <c r="A15" s="166"/>
      <c r="B15" s="166"/>
      <c r="C15" s="166"/>
      <c r="D15" s="166"/>
      <c r="E15" s="264"/>
      <c r="F15" s="166"/>
      <c r="G15" s="166"/>
      <c r="H15" s="166"/>
    </row>
    <row r="16" ht="15.75" customHeight="1"/>
    <row r="17" ht="15.75" customHeight="1"/>
  </sheetData>
  <mergeCells count="3">
    <mergeCell ref="A1:F1"/>
    <mergeCell ref="D3:F3"/>
    <mergeCell ref="B9:B10"/>
  </mergeCells>
  <printOptions/>
  <pageMargins bottom="0.7480314960629921" footer="0.0" header="0.0" left="0.905511811023622" right="0.0" top="0.7480314960629921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63"/>
    <col customWidth="1" min="2" max="2" width="20.88"/>
    <col customWidth="1" min="3" max="22" width="9.13"/>
  </cols>
  <sheetData>
    <row r="1" ht="15.0" customHeight="1">
      <c r="A1" s="265" t="s">
        <v>309</v>
      </c>
      <c r="B1" s="1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ht="15.0" customHeight="1">
      <c r="A2" s="266" t="s">
        <v>310</v>
      </c>
      <c r="B2" s="267" t="s">
        <v>311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ht="15.0" customHeight="1">
      <c r="A3" s="268">
        <v>1.0</v>
      </c>
      <c r="B3" s="269">
        <v>33.629999999999995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ht="15.0" customHeight="1">
      <c r="A4" s="268">
        <v>2.0</v>
      </c>
      <c r="B4" s="269">
        <v>43.13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ht="15.0" customHeight="1">
      <c r="A5" s="268">
        <v>3.0</v>
      </c>
      <c r="B5" s="269">
        <v>48.68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ht="15.0" customHeight="1">
      <c r="A6" s="268">
        <v>4.0</v>
      </c>
      <c r="B6" s="269">
        <v>52.62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</row>
    <row r="7" ht="15.0" customHeight="1">
      <c r="A7" s="268">
        <v>5.0</v>
      </c>
      <c r="B7" s="269">
        <v>55.67999999999999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</row>
    <row r="8" ht="15.0" customHeight="1">
      <c r="A8" s="268">
        <v>6.0</v>
      </c>
      <c r="B8" s="269">
        <v>58.18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ht="15.0" customHeight="1">
      <c r="A9" s="268">
        <v>7.0</v>
      </c>
      <c r="B9" s="269">
        <v>60.29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ht="15.0" customHeight="1">
      <c r="A10" s="268">
        <v>8.0</v>
      </c>
      <c r="B10" s="269">
        <v>62.12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ht="15.0" customHeight="1">
      <c r="A11" s="268">
        <v>9.0</v>
      </c>
      <c r="B11" s="269">
        <v>63.73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</row>
    <row r="12" ht="15.0" customHeight="1">
      <c r="A12" s="268">
        <v>10.0</v>
      </c>
      <c r="B12" s="269">
        <v>65.18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</row>
    <row r="13" ht="15.0" customHeight="1">
      <c r="A13" s="268">
        <v>11.0</v>
      </c>
      <c r="B13" s="269">
        <v>66.47999999999999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</row>
    <row r="14" ht="15.0" customHeight="1">
      <c r="A14" s="268">
        <v>12.0</v>
      </c>
      <c r="B14" s="269">
        <v>67.67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ht="15.0" customHeight="1">
      <c r="A15" s="268">
        <v>13.0</v>
      </c>
      <c r="B15" s="269">
        <v>68.77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ht="15.0" customHeight="1">
      <c r="A16" s="268">
        <v>14.0</v>
      </c>
      <c r="B16" s="269">
        <v>69.78999999999999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ht="15.0" customHeight="1">
      <c r="A17" s="270">
        <v>15.0</v>
      </c>
      <c r="B17" s="271">
        <v>70.73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ht="19.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ht="19.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ht="19.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ht="19.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</row>
    <row r="22" ht="19.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ht="19.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</row>
    <row r="24" ht="19.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</row>
    <row r="25" ht="19.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</row>
    <row r="26" ht="19.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ht="19.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ht="19.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</row>
    <row r="29" ht="19.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</row>
    <row r="30" ht="19.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</row>
    <row r="31" ht="19.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</row>
    <row r="32" ht="19.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ht="19.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</row>
    <row r="34" ht="19.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ht="19.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ht="19.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ht="19.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</row>
    <row r="38" ht="19.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ht="19.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</row>
    <row r="40" ht="19.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ht="19.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</row>
    <row r="42" ht="19.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</row>
    <row r="43" ht="19.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ht="19.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  <row r="45" ht="19.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</row>
    <row r="46" ht="19.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ht="19.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ht="19.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ht="19.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</row>
    <row r="50" ht="19.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  <row r="51" ht="19.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</row>
    <row r="52" ht="19.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ht="19.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</row>
    <row r="54" ht="19.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</row>
    <row r="55" ht="19.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</row>
    <row r="56" ht="19.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</row>
    <row r="57" ht="19.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</row>
    <row r="58" ht="19.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</row>
    <row r="59" ht="19.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</row>
    <row r="60" ht="19.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</row>
    <row r="61" ht="19.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</row>
    <row r="62" ht="19.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ht="19.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4" ht="19.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</row>
    <row r="65" ht="19.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</row>
    <row r="66" ht="19.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</row>
    <row r="67" ht="19.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</row>
    <row r="68" ht="19.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</row>
    <row r="69" ht="19.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</row>
    <row r="70" ht="19.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</row>
    <row r="71" ht="19.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</row>
    <row r="72" ht="19.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ht="19.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ht="19.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ht="19.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ht="19.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ht="19.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</row>
    <row r="78" ht="19.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</row>
    <row r="79" ht="19.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</row>
    <row r="80" ht="19.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</row>
    <row r="81" ht="19.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</row>
    <row r="82" ht="19.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</row>
    <row r="83" ht="19.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</row>
    <row r="84" ht="19.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</row>
    <row r="85" ht="19.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ht="19.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ht="19.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ht="19.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</row>
    <row r="89" ht="19.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</row>
    <row r="90" ht="19.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</row>
    <row r="91" ht="19.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</row>
    <row r="92" ht="19.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</row>
    <row r="93" ht="19.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</row>
    <row r="94" ht="19.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</row>
    <row r="95" ht="19.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</row>
    <row r="96" ht="19.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</row>
    <row r="97" ht="19.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</row>
    <row r="98" ht="19.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</row>
    <row r="99" ht="19.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</row>
    <row r="100" ht="19.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</row>
    <row r="101" ht="19.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</row>
    <row r="102" ht="19.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</row>
    <row r="103" ht="19.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</row>
    <row r="104" ht="19.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</row>
    <row r="105" ht="19.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</row>
    <row r="106" ht="19.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</row>
    <row r="107" ht="19.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</row>
    <row r="108" ht="19.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</row>
    <row r="109" ht="19.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</row>
    <row r="110" ht="19.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</row>
    <row r="111" ht="19.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ht="19.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ht="19.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ht="19.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ht="19.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ht="19.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ht="19.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ht="19.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</row>
    <row r="119" ht="19.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</row>
    <row r="120" ht="19.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</row>
    <row r="121" ht="19.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</row>
    <row r="122" ht="19.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</row>
    <row r="123" ht="19.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</row>
    <row r="124" ht="19.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</row>
    <row r="125" ht="19.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</row>
    <row r="126" ht="19.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ht="19.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ht="19.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</row>
    <row r="129" ht="19.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</row>
    <row r="130" ht="19.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</row>
    <row r="131" ht="19.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</row>
    <row r="132" ht="19.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</row>
    <row r="133" ht="19.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ht="19.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</row>
    <row r="135" ht="19.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ht="19.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</row>
    <row r="137" ht="19.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</row>
    <row r="138" ht="19.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</row>
    <row r="139" ht="19.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</row>
    <row r="140" ht="19.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</row>
    <row r="141" ht="19.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</row>
    <row r="142" ht="19.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</row>
    <row r="143" ht="19.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</row>
    <row r="144" ht="19.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</row>
    <row r="145" ht="19.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</row>
    <row r="146" ht="19.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</row>
    <row r="147" ht="19.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</row>
    <row r="148" ht="19.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</row>
    <row r="149" ht="19.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</row>
    <row r="150" ht="19.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</row>
    <row r="151" ht="19.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</row>
    <row r="152" ht="19.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</row>
    <row r="153" ht="19.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</row>
    <row r="154" ht="19.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</row>
    <row r="155" ht="19.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</row>
    <row r="156" ht="19.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</row>
    <row r="157" ht="19.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</row>
    <row r="158" ht="19.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</row>
    <row r="159" ht="19.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</row>
    <row r="160" ht="19.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</row>
    <row r="161" ht="19.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</row>
    <row r="162" ht="19.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ht="19.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ht="19.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ht="19.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ht="19.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</row>
    <row r="167" ht="19.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</row>
    <row r="168" ht="19.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</row>
    <row r="169" ht="19.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</row>
    <row r="170" ht="19.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</row>
    <row r="171" ht="19.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</row>
    <row r="172" ht="19.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</row>
    <row r="173" ht="19.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</row>
    <row r="174" ht="19.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</row>
    <row r="175" ht="19.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</row>
    <row r="176" ht="19.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</row>
    <row r="177" ht="19.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ht="19.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</row>
    <row r="179" ht="19.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</row>
    <row r="180" ht="19.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</row>
    <row r="181" ht="19.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</row>
    <row r="182" ht="19.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</row>
    <row r="183" ht="19.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</row>
    <row r="184" ht="19.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</row>
    <row r="185" ht="19.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</row>
    <row r="186" ht="19.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</row>
    <row r="187" ht="19.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</row>
    <row r="188" ht="19.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</row>
    <row r="189" ht="19.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</row>
    <row r="190" ht="19.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</row>
    <row r="191" ht="19.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</row>
    <row r="192" ht="19.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</row>
    <row r="193" ht="19.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</row>
    <row r="194" ht="19.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</row>
    <row r="195" ht="19.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</row>
    <row r="196" ht="19.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</row>
    <row r="197" ht="19.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</row>
    <row r="198" ht="19.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</row>
    <row r="199" ht="19.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</row>
    <row r="200" ht="19.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</row>
    <row r="201" ht="19.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</row>
    <row r="202" ht="19.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</row>
    <row r="203" ht="19.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ht="19.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ht="19.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</row>
    <row r="206" ht="19.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</row>
    <row r="207" ht="19.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</row>
    <row r="208" ht="19.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</row>
    <row r="209" ht="19.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</row>
    <row r="210" ht="19.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</row>
    <row r="211" ht="19.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</row>
    <row r="212" ht="19.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</row>
    <row r="213" ht="19.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</row>
    <row r="214" ht="19.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</row>
    <row r="215" ht="19.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</row>
    <row r="216" ht="19.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</row>
    <row r="217" ht="19.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</row>
    <row r="218" ht="19.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</row>
    <row r="219" ht="19.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</row>
    <row r="220" ht="19.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480314960629921" footer="0.0" header="0.0" left="0.905511811023622" right="0.5118110236220472" top="0.7480314960629921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0.38"/>
    <col customWidth="1" min="2" max="3" width="9.13"/>
    <col customWidth="1" min="4" max="4" width="12.88"/>
    <col customWidth="1" min="5" max="21" width="9.13"/>
  </cols>
  <sheetData>
    <row r="1" ht="12.75" customHeight="1">
      <c r="A1" s="272" t="s">
        <v>312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ht="12.75" customHeight="1">
      <c r="A2" s="27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ht="12.75" customHeight="1">
      <c r="A3" s="273" t="s">
        <v>313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ht="12.75" customHeight="1">
      <c r="A4" s="27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</row>
    <row r="5" ht="12.75" customHeight="1">
      <c r="A5" s="27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</row>
    <row r="6" ht="12.75" customHeight="1">
      <c r="A6" s="27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</row>
    <row r="7" ht="12.75" customHeight="1">
      <c r="A7" s="27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ht="12.75" customHeight="1">
      <c r="A8" s="27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ht="12.75" customHeight="1">
      <c r="A9" s="273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</row>
    <row r="10" ht="12.75" customHeight="1">
      <c r="A10" s="27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</row>
    <row r="11" ht="12.75" customHeight="1">
      <c r="A11" s="273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</row>
    <row r="12" ht="12.75" customHeight="1">
      <c r="A12" s="274" t="s">
        <v>314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</row>
    <row r="13" ht="12.75" customHeight="1">
      <c r="A13" s="274" t="s">
        <v>315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</row>
    <row r="14" ht="12.75" customHeight="1">
      <c r="A14" s="274" t="s">
        <v>316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</row>
    <row r="15" ht="12.75" customHeight="1">
      <c r="A15" s="274" t="s">
        <v>317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</row>
    <row r="16" ht="12.75" customHeight="1">
      <c r="A16" s="274" t="s">
        <v>318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ht="12.75" customHeight="1">
      <c r="A17" s="275" t="s">
        <v>319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ht="12.7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</row>
    <row r="19" ht="12.7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</row>
    <row r="20" ht="12.7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</row>
    <row r="21" ht="12.7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</row>
    <row r="22" ht="12.7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ht="12.7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</row>
    <row r="24" ht="12.7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</row>
    <row r="25" ht="12.7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</row>
    <row r="26" ht="12.7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</row>
    <row r="27" ht="12.7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</row>
    <row r="28" ht="12.7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</row>
    <row r="29" ht="12.7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</row>
    <row r="30" ht="12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</row>
    <row r="31" ht="12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905511811023622" right="0.5118110236220472" top="0.7480314960629921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8.25"/>
    <col customWidth="1" min="2" max="2" width="11.13"/>
    <col customWidth="1" min="3" max="3" width="11.25"/>
    <col customWidth="1" min="4" max="23" width="9.13"/>
  </cols>
  <sheetData>
    <row r="1" ht="15.0" customHeight="1">
      <c r="A1" s="199" t="s">
        <v>320</v>
      </c>
      <c r="B1" s="168"/>
      <c r="C1" s="169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ht="15.0" customHeight="1">
      <c r="A2" s="276"/>
      <c r="B2" s="277"/>
      <c r="C2" s="278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ht="15.0" customHeight="1">
      <c r="A3" s="204" t="s">
        <v>321</v>
      </c>
      <c r="B3" s="279" t="s">
        <v>322</v>
      </c>
      <c r="C3" s="219" t="s">
        <v>208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</row>
    <row r="4" ht="15.0" customHeight="1">
      <c r="A4" s="205" t="s">
        <v>323</v>
      </c>
      <c r="B4" s="280" t="s">
        <v>324</v>
      </c>
      <c r="C4" s="206">
        <v>43171.0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ht="15.0" customHeight="1">
      <c r="A5" s="205" t="s">
        <v>325</v>
      </c>
      <c r="B5" s="280" t="s">
        <v>326</v>
      </c>
      <c r="C5" s="281">
        <f>0.0362741*C4^0.2336249</f>
        <v>0.4390287274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</row>
    <row r="6" ht="15.0" customHeight="1">
      <c r="A6" s="205" t="s">
        <v>327</v>
      </c>
      <c r="B6" s="280" t="s">
        <v>328</v>
      </c>
      <c r="C6" s="282">
        <f>C4*C5/1000</f>
        <v>18.95330919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ht="15.0" customHeight="1">
      <c r="A7" s="205" t="s">
        <v>329</v>
      </c>
      <c r="B7" s="280" t="s">
        <v>330</v>
      </c>
      <c r="C7" s="283">
        <f>(C6*30)</f>
        <v>568.5992757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ht="15.0" customHeight="1">
      <c r="A8" s="205" t="s">
        <v>331</v>
      </c>
      <c r="B8" s="280" t="s">
        <v>49</v>
      </c>
      <c r="C8" s="284">
        <v>5.0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</row>
    <row r="9" ht="15.0" customHeight="1">
      <c r="A9" s="205" t="s">
        <v>332</v>
      </c>
      <c r="B9" s="280" t="s">
        <v>328</v>
      </c>
      <c r="C9" s="282">
        <f>IFERROR(C6*7/C8,0)</f>
        <v>26.53463287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15.0" customHeight="1">
      <c r="A10" s="205" t="s">
        <v>333</v>
      </c>
      <c r="B10" s="280" t="s">
        <v>334</v>
      </c>
      <c r="C10" s="212">
        <v>500.0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15.0" customHeight="1">
      <c r="A11" s="205" t="s">
        <v>335</v>
      </c>
      <c r="B11" s="280"/>
      <c r="C11" s="206">
        <v>1.0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15.0" customHeight="1">
      <c r="A12" s="205" t="s">
        <v>336</v>
      </c>
      <c r="B12" s="280" t="s">
        <v>337</v>
      </c>
      <c r="C12" s="206">
        <v>12.0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15.0" customHeight="1">
      <c r="A13" s="205" t="s">
        <v>338</v>
      </c>
      <c r="B13" s="280" t="s">
        <v>330</v>
      </c>
      <c r="C13" s="212">
        <f>IF(AND(C12&gt;=15,C11=1),5.8,C12/2)</f>
        <v>6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15.0" customHeight="1">
      <c r="A14" s="205" t="s">
        <v>339</v>
      </c>
      <c r="B14" s="280"/>
      <c r="C14" s="282">
        <f>IFERROR(C9/C13,0)</f>
        <v>4.422438811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15.0" customHeight="1">
      <c r="A15" s="205" t="s">
        <v>340</v>
      </c>
      <c r="B15" s="280"/>
      <c r="C15" s="285">
        <v>2.0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15.0" customHeight="1">
      <c r="A16" s="286" t="s">
        <v>341</v>
      </c>
      <c r="B16" s="287"/>
      <c r="C16" s="288">
        <f>IFERROR(C14/C15,0)</f>
        <v>2.211219406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ht="12.75" customHeight="1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ht="12.7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ht="12.7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ht="12.7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ht="12.7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ht="12.7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ht="12.7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ht="12.7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ht="12.7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ht="12.7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ht="12.7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ht="12.7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ht="12.7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ht="12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ht="12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">
    <mergeCell ref="A1:C1"/>
  </mergeCells>
  <conditionalFormatting sqref="C13">
    <cfRule type="expression" dxfId="0" priority="1">
      <formula>"SE(E(C20&gt;=15;C19=1))"</formula>
    </cfRule>
  </conditionalFormatting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2000-12-13T10:02:50Z</dcterms:created>
  <dc:creator>Flavia Burmeister Martins</dc:creator>
</cp:coreProperties>
</file>