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0775" windowHeight="11190"/>
  </bookViews>
  <sheets>
    <sheet name="1. Retroescavadeira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2">
      <go:sheetsCustomData xmlns:go="http://customooxmlschemas.google.com/" r:id="rId10" roundtripDataChecksum="5sei2TU9BB9Ibh0+HqBEs8sS0suFUogRaDvf7jQHcK0="/>
    </ext>
  </extLst>
</workbook>
</file>

<file path=xl/calcChain.xml><?xml version="1.0" encoding="utf-8"?>
<calcChain xmlns="http://schemas.openxmlformats.org/spreadsheetml/2006/main">
  <c r="C15" i="4" l="1"/>
  <c r="C20" i="4" s="1"/>
  <c r="C188" i="1" s="1"/>
  <c r="F13" i="4"/>
  <c r="E13" i="4"/>
  <c r="D13" i="4"/>
  <c r="C25" i="3"/>
  <c r="C27" i="3" s="1"/>
  <c r="C23" i="3"/>
  <c r="C20" i="2"/>
  <c r="C17" i="2"/>
  <c r="F196" i="1"/>
  <c r="E179" i="1"/>
  <c r="C177" i="1"/>
  <c r="E177" i="1" s="1"/>
  <c r="D178" i="1" s="1"/>
  <c r="E178" i="1" s="1"/>
  <c r="C175" i="1"/>
  <c r="E175" i="1" s="1"/>
  <c r="D176" i="1" s="1"/>
  <c r="E176" i="1" s="1"/>
  <c r="C166" i="1"/>
  <c r="E164" i="1"/>
  <c r="D165" i="1" s="1"/>
  <c r="E165" i="1" s="1"/>
  <c r="D166" i="1" s="1"/>
  <c r="C164" i="1"/>
  <c r="E162" i="1"/>
  <c r="C157" i="1"/>
  <c r="E157" i="1" s="1"/>
  <c r="F158" i="1" s="1"/>
  <c r="E20" i="1" s="1"/>
  <c r="D151" i="1"/>
  <c r="C151" i="1"/>
  <c r="E151" i="1" s="1"/>
  <c r="D149" i="1"/>
  <c r="D147" i="1"/>
  <c r="C147" i="1"/>
  <c r="E147" i="1" s="1"/>
  <c r="D145" i="1"/>
  <c r="D152" i="1" s="1"/>
  <c r="C145" i="1"/>
  <c r="C149" i="1" s="1"/>
  <c r="E149" i="1" s="1"/>
  <c r="E137" i="1"/>
  <c r="E135" i="1"/>
  <c r="C135" i="1"/>
  <c r="D134" i="1"/>
  <c r="E134" i="1" s="1"/>
  <c r="D136" i="1" s="1"/>
  <c r="E136" i="1" s="1"/>
  <c r="F137" i="1" s="1"/>
  <c r="E18" i="1" s="1"/>
  <c r="E130" i="1"/>
  <c r="C129" i="1"/>
  <c r="D124" i="1"/>
  <c r="E124" i="1" s="1"/>
  <c r="E120" i="1"/>
  <c r="C118" i="1"/>
  <c r="D117" i="1"/>
  <c r="C117" i="1"/>
  <c r="E117" i="1" s="1"/>
  <c r="D118" i="1" s="1"/>
  <c r="E118" i="1" s="1"/>
  <c r="D119" i="1" s="1"/>
  <c r="E119" i="1" s="1"/>
  <c r="F120" i="1" s="1"/>
  <c r="E114" i="1"/>
  <c r="E103" i="1"/>
  <c r="E101" i="1"/>
  <c r="E100" i="1"/>
  <c r="E99" i="1"/>
  <c r="E98" i="1"/>
  <c r="E97" i="1"/>
  <c r="D102" i="1" s="1"/>
  <c r="E88" i="1"/>
  <c r="A87" i="1"/>
  <c r="A86" i="1"/>
  <c r="C81" i="1"/>
  <c r="E81" i="1" s="1"/>
  <c r="A81" i="1"/>
  <c r="A80" i="1"/>
  <c r="C75" i="1"/>
  <c r="C74" i="1"/>
  <c r="E68" i="1"/>
  <c r="C67" i="1"/>
  <c r="C86" i="1" s="1"/>
  <c r="E86" i="1" s="1"/>
  <c r="D60" i="1"/>
  <c r="E60" i="1" s="1"/>
  <c r="D59" i="1"/>
  <c r="E59" i="1" s="1"/>
  <c r="E57" i="1"/>
  <c r="E53" i="1"/>
  <c r="D45" i="1"/>
  <c r="E45" i="1" s="1"/>
  <c r="D44" i="1"/>
  <c r="E44" i="1" s="1"/>
  <c r="D46" i="1" s="1"/>
  <c r="E46" i="1" s="1"/>
  <c r="E42" i="1"/>
  <c r="E34" i="1"/>
  <c r="A34" i="1"/>
  <c r="A30" i="1"/>
  <c r="E29" i="1"/>
  <c r="E31" i="1" s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9" i="1"/>
  <c r="A8" i="1"/>
  <c r="A7" i="1"/>
  <c r="E49" i="1" l="1"/>
  <c r="E16" i="1"/>
  <c r="C28" i="3"/>
  <c r="C33" i="3"/>
  <c r="F88" i="1"/>
  <c r="E166" i="1"/>
  <c r="F167" i="1" s="1"/>
  <c r="E21" i="1" s="1"/>
  <c r="D61" i="1"/>
  <c r="E61" i="1" s="1"/>
  <c r="F179" i="1"/>
  <c r="F181" i="1" s="1"/>
  <c r="E22" i="1" s="1"/>
  <c r="C126" i="1"/>
  <c r="C127" i="1" s="1"/>
  <c r="D128" i="1" s="1"/>
  <c r="E128" i="1" s="1"/>
  <c r="D129" i="1" s="1"/>
  <c r="E129" i="1" s="1"/>
  <c r="F130" i="1" s="1"/>
  <c r="E17" i="1" s="1"/>
  <c r="D63" i="1"/>
  <c r="E63" i="1" s="1"/>
  <c r="E64" i="1" s="1"/>
  <c r="E145" i="1"/>
  <c r="F153" i="1" s="1"/>
  <c r="E19" i="1" s="1"/>
  <c r="C26" i="3"/>
  <c r="C31" i="2" s="1"/>
  <c r="D75" i="1"/>
  <c r="E75" i="1" s="1"/>
  <c r="C102" i="1"/>
  <c r="E102" i="1" s="1"/>
  <c r="F103" i="1" s="1"/>
  <c r="F106" i="1" s="1"/>
  <c r="E13" i="1" s="1"/>
  <c r="C87" i="1"/>
  <c r="E87" i="1" s="1"/>
  <c r="D74" i="1"/>
  <c r="E74" i="1" s="1"/>
  <c r="F76" i="1" s="1"/>
  <c r="E10" i="1" s="1"/>
  <c r="D48" i="1"/>
  <c r="E48" i="1" s="1"/>
  <c r="C80" i="1"/>
  <c r="E80" i="1" s="1"/>
  <c r="F82" i="1" s="1"/>
  <c r="E11" i="1" s="1"/>
  <c r="D65" i="1" l="1"/>
  <c r="E12" i="1"/>
  <c r="C28" i="2"/>
  <c r="C19" i="2"/>
  <c r="C25" i="2" s="1"/>
  <c r="C34" i="2" s="1"/>
  <c r="E15" i="1"/>
  <c r="F170" i="1"/>
  <c r="E14" i="1" s="1"/>
  <c r="C30" i="2"/>
  <c r="D50" i="1"/>
  <c r="C27" i="2"/>
  <c r="C29" i="2" l="1"/>
  <c r="C32" i="2" s="1"/>
  <c r="C35" i="2"/>
  <c r="C36" i="2" s="1"/>
  <c r="C37" i="2" s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E8" i="1" s="1"/>
  <c r="E9" i="1" l="1"/>
  <c r="F90" i="1"/>
  <c r="E7" i="1" l="1"/>
  <c r="F183" i="1"/>
  <c r="D188" i="1" l="1"/>
  <c r="E188" i="1" s="1"/>
  <c r="F189" i="1" s="1"/>
  <c r="F191" i="1" s="1"/>
  <c r="E23" i="1" s="1"/>
  <c r="F194" i="1"/>
  <c r="F198" i="1" s="1"/>
  <c r="E25" i="1" s="1"/>
  <c r="E24" i="1"/>
  <c r="F7" i="1"/>
  <c r="F24" i="1" l="1"/>
  <c r="F18" i="1"/>
  <c r="F20" i="1"/>
  <c r="F19" i="1"/>
  <c r="F10" i="1"/>
  <c r="F21" i="1"/>
  <c r="F17" i="1"/>
  <c r="F11" i="1"/>
  <c r="F13" i="1"/>
  <c r="F22" i="1"/>
  <c r="F16" i="1"/>
  <c r="F15" i="1"/>
  <c r="F14" i="1"/>
  <c r="F12" i="1"/>
  <c r="F8" i="1"/>
  <c r="F9" i="1"/>
  <c r="F23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scheme val="minor"/>
          </rPr>
          <t>======
ID#AAAAyr_RbHw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  <scheme val="minor"/>
          </rPr>
          <t>======
ID#AAAAyr_RbHI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  <scheme val="minor"/>
          </rPr>
          <t>======
ID#AAAAyr_RbGk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  <scheme val="minor"/>
          </rPr>
          <t>======
ID#AAAAyr_RbHk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  <scheme val="minor"/>
          </rPr>
          <t>======
ID#AAAAyr_RbJk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  <scheme val="minor"/>
          </rPr>
          <t>======
ID#AAAAyr_RbIU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  <scheme val="minor"/>
          </rPr>
          <t>======
ID#AAAAyr_RbHM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  <scheme val="minor"/>
          </rPr>
          <t>======
ID#AAAAyr_RbJM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  <scheme val="minor"/>
          </rPr>
          <t>======
ID#AAAAyr_RbIg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  <scheme val="minor"/>
          </rPr>
          <t>======
ID#AAAAyr_RbIA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  <scheme val="minor"/>
          </rPr>
          <t>======
ID#AAAAyr_RbJU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  <scheme val="minor"/>
          </rPr>
          <t>======
ID#AAAAyr_RbJY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  <scheme val="minor"/>
          </rPr>
          <t>======
ID#AAAAyr_RbIk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  <scheme val="minor"/>
          </rPr>
          <t>======
ID#AAAAyr_RbI8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  <scheme val="minor"/>
          </rPr>
          <t>======
ID#AAAAyr_RbIY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  <scheme val="minor"/>
          </rPr>
          <t>======
ID#AAAAyr_RbI4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  <scheme val="minor"/>
          </rPr>
          <t>======
ID#AAAAyr_RbG0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  <scheme val="minor"/>
          </rPr>
          <t>======
ID#AAAAyr_RbHA
Clauber Bridi    (2021-04-05 11:24:37)
Informar o valor unitário estimado para aquisição de cada EPI</t>
        </r>
      </text>
    </comment>
    <comment ref="C101" authorId="0">
      <text>
        <r>
          <rPr>
            <sz val="10"/>
            <color rgb="FF000000"/>
            <rFont val="Arial"/>
            <scheme val="minor"/>
          </rPr>
          <t>======
ID#AAAAyr_RbIQ
Clauber Bridi    (2021-04-05 11:24:37)
Informar a durabilidade estimada em meses, para cada EPI</t>
        </r>
      </text>
    </comment>
    <comment ref="D101" authorId="0">
      <text>
        <r>
          <rPr>
            <sz val="10"/>
            <color rgb="FF000000"/>
            <rFont val="Arial"/>
            <scheme val="minor"/>
          </rPr>
          <t>======
ID#AAAAyr_RbH4
Clauber Bridi    (2021-04-05 11:24:37)
Informar o valor unitário estimado para aquisição de cada EPI</t>
        </r>
      </text>
    </comment>
    <comment ref="D114" authorId="0">
      <text>
        <r>
          <rPr>
            <sz val="10"/>
            <color rgb="FF000000"/>
            <rFont val="Arial"/>
            <scheme val="minor"/>
          </rPr>
          <t>======
ID#AAAAyr_RbII
Clauber Bridi    (2021-04-05 11:24:37)
Informar o preço unitário do chassis do trator 75hp</t>
        </r>
      </text>
    </comment>
    <comment ref="C115" authorId="0">
      <text>
        <r>
          <rPr>
            <sz val="10"/>
            <color rgb="FF000000"/>
            <rFont val="Arial"/>
            <scheme val="minor"/>
          </rPr>
          <t>======
ID#AAAAyr_RbJo
Clauber Bridi    (2021-04-05 11:24:37)
Informar a vida útil estimada para o trator, em anos</t>
        </r>
      </text>
    </comment>
    <comment ref="C116" authorId="0">
      <text>
        <r>
          <rPr>
            <sz val="10"/>
            <color rgb="FF000000"/>
            <rFont val="Arial"/>
            <scheme val="minor"/>
          </rPr>
          <t>======
ID#AAAAyr_RbIc
Clauber Bridi    (2021-04-05 11:24:37)
Na elaboração do orçamento-base da licitação, informar 0 (zero). Na proposta da licitante, informar a idade do veículo proposto.</t>
        </r>
      </text>
    </comment>
    <comment ref="C117" authorId="0">
      <text>
        <r>
          <rPr>
            <sz val="10"/>
            <color rgb="FF000000"/>
            <rFont val="Arial"/>
            <scheme val="minor"/>
          </rPr>
          <t>======
ID#AAAAyr_RbIo
Clauber Bridi    (2021-04-05 11:24:37)
Informar o valor da depreciação do caminhão, adotando o valor sugerido pelo TCE ou outro valor estimado</t>
        </r>
      </text>
    </comment>
    <comment ref="C119" authorId="0">
      <text>
        <r>
          <rPr>
            <sz val="10"/>
            <color rgb="FF000000"/>
            <rFont val="Arial"/>
            <scheme val="minor"/>
          </rPr>
          <t>======
ID#AAAAyr_RbGo
Clauber Bridi    (2021-04-05 11:24:37)
Informar a vida útil estimada para a roçadeira, em anos
======
ID#AAAAyr_RbGQ
Clauber Bridi    (2021-04-05 11:24:37)
Informar a quantidade de tratores com roçadeira</t>
        </r>
      </text>
    </comment>
    <comment ref="D119" authorId="0">
      <text>
        <r>
          <rPr>
            <sz val="10"/>
            <color rgb="FF000000"/>
            <rFont val="Arial"/>
            <scheme val="minor"/>
          </rPr>
          <t>======
ID#AAAAyr_RbHc
Clauber Bridi    (2021-04-05 11:24:37)
Informar o preço unitário do equipamento roçadeira</t>
        </r>
      </text>
    </comment>
    <comment ref="C120" authorId="0">
      <text>
        <r>
          <rPr>
            <sz val="10"/>
            <color rgb="FF000000"/>
            <rFont val="Arial"/>
            <scheme val="minor"/>
          </rPr>
          <t>======
ID#AAAAyr_RbG8
Clauber Bridi    (2021-04-05 11:24:37)
Na elaboração do orçamento-base da licitação, informar 0 (zero). Na proposta da licitante, informar a idade do compactador proposto.</t>
        </r>
      </text>
    </comment>
    <comment ref="C121" authorId="0">
      <text>
        <r>
          <rPr>
            <sz val="10"/>
            <color rgb="FF000000"/>
            <rFont val="Arial"/>
            <scheme val="minor"/>
          </rPr>
          <t>======
ID#AAAAyr_RbGs
Clauber Bridi    (2021-04-05 11:24:37)
Informar o valor da depreciação do compactador, adotando o valor sugerido pelo TCE ou outro valor estimado</t>
        </r>
      </text>
    </comment>
    <comment ref="C125" authorId="0">
      <text>
        <r>
          <rPr>
            <sz val="10"/>
            <color rgb="FF000000"/>
            <rFont val="Arial"/>
            <scheme val="minor"/>
          </rPr>
          <t>======
ID#AAAAyr_RbGU
Clauber Bridi    (2021-04-05 11:24:37)
Informar a taxa de juros anual para remuneração do capital. Recomenda-se o uso da Taxa SELIC</t>
        </r>
      </text>
    </comment>
    <comment ref="D135" authorId="0">
      <text>
        <r>
          <rPr>
            <sz val="10"/>
            <color rgb="FF000000"/>
            <rFont val="Arial"/>
            <scheme val="minor"/>
          </rPr>
          <t>======
ID#AAAAyr_RbH8
Clauber Bridi    (2021-04-05 11:24:37)
Informar o valor do seguro obrigatório e licenciamento anual de um caminhão</t>
        </r>
      </text>
    </comment>
    <comment ref="B141" authorId="0">
      <text>
        <r>
          <rPr>
            <sz val="10"/>
            <color rgb="FF000000"/>
            <rFont val="Arial"/>
            <scheme val="minor"/>
          </rPr>
          <t>======
ID#AAAAyr_RbIM
Clauber Bridi    (2021-04-05 11:24:37)
Informar a quantidade de horas trabalhadas, de acordo com o projeto básico</t>
        </r>
      </text>
    </comment>
    <comment ref="C144" authorId="0">
      <text>
        <r>
          <rPr>
            <sz val="10"/>
            <color rgb="FF000000"/>
            <rFont val="Arial"/>
            <scheme val="minor"/>
          </rPr>
          <t>======
ID#AAAAyr_RbGw
Clauber Bridi    (2021-04-05 11:24:37)
Informar o consumo estimado do veículo em L/h</t>
        </r>
      </text>
    </comment>
    <comment ref="D144" authorId="0">
      <text>
        <r>
          <rPr>
            <sz val="10"/>
            <color rgb="FF000000"/>
            <rFont val="Arial"/>
            <scheme val="minor"/>
          </rPr>
          <t>======
ID#AAAAyr_RbGc
Clauber Bridi    (2021-04-05 11:24:37)
Informar o preço unitário do combustivel</t>
        </r>
      </text>
    </comment>
    <comment ref="C146" authorId="0">
      <text>
        <r>
          <rPr>
            <sz val="10"/>
            <color rgb="FF000000"/>
            <rFont val="Arial"/>
            <scheme val="minor"/>
          </rPr>
          <t>======
ID#AAAAyr_RbHg
Clauber Bridi    (2021-04-05 11:24:37)
Informar o consumo de óleo do motor a cada 250h</t>
        </r>
      </text>
    </comment>
    <comment ref="C148" authorId="0">
      <text>
        <r>
          <rPr>
            <sz val="10"/>
            <color rgb="FF000000"/>
            <rFont val="Arial"/>
            <scheme val="minor"/>
          </rPr>
          <t>======
ID#AAAAyr_RbJE
Clauber Bridi    (2021-04-05 11:24:37)
Informar o consumo de óleo hidráulico a cada 250h</t>
        </r>
      </text>
    </comment>
    <comment ref="D148" authorId="0">
      <text>
        <r>
          <rPr>
            <sz val="10"/>
            <color rgb="FF000000"/>
            <rFont val="Arial"/>
            <scheme val="minor"/>
          </rPr>
          <t>======
ID#AAAAyr_RbHQ
Clauber Bridi    (2021-04-05 11:24:37)
Informar o preço unitário do litro do óleo hidráulico</t>
        </r>
      </text>
    </comment>
    <comment ref="C150" authorId="0">
      <text>
        <r>
          <rPr>
            <sz val="10"/>
            <color rgb="FF000000"/>
            <rFont val="Arial"/>
            <scheme val="minor"/>
          </rPr>
          <t>======
ID#AAAAyr_RbJg
Clauber Bridi    (2021-04-05 11:24:37)
Informar o consumo de graxa a cada 250h</t>
        </r>
      </text>
    </comment>
    <comment ref="D150" authorId="0">
      <text>
        <r>
          <rPr>
            <sz val="10"/>
            <color rgb="FF000000"/>
            <rFont val="Arial"/>
            <scheme val="minor"/>
          </rPr>
          <t>======
ID#AAAAyr_RbHo
Clauber Bridi    (2021-04-05 11:24:37)
Informar o preço unitário do litro da graxa</t>
        </r>
      </text>
    </comment>
    <comment ref="D157" authorId="0">
      <text>
        <r>
          <rPr>
            <sz val="10"/>
            <color rgb="FF000000"/>
            <rFont val="Arial"/>
            <scheme val="minor"/>
          </rPr>
          <t>======
ID#AAAAyr_RbGM
Clauber Bridi    (2021-04-05 11:24:37)
Informar o custo de manutenção em R$/km rodado</t>
        </r>
      </text>
    </comment>
    <comment ref="C162" authorId="0">
      <text>
        <r>
          <rPr>
            <sz val="10"/>
            <color rgb="FF000000"/>
            <rFont val="Arial"/>
            <scheme val="minor"/>
          </rPr>
          <t>======
ID#AAAAyr_RbJQ
Clauber Bridi    (2021-04-05 11:24:37)
Informar a quantidade de pneus novos de 1 Trator</t>
        </r>
      </text>
    </comment>
    <comment ref="D162" authorId="0">
      <text>
        <r>
          <rPr>
            <sz val="10"/>
            <color rgb="FF000000"/>
            <rFont val="Arial"/>
            <scheme val="minor"/>
          </rPr>
          <t>======
ID#AAAAyr_RbHY
Clauber Bridi    (2021-04-05 11:24:37)
Informar o preço unitário de cada pneu</t>
        </r>
      </text>
    </comment>
    <comment ref="C163" authorId="0">
      <text>
        <r>
          <rPr>
            <sz val="10"/>
            <color rgb="FF000000"/>
            <rFont val="Arial"/>
            <scheme val="minor"/>
          </rPr>
          <t>======
ID#AAAAyr_RbHs
Clauber Bridi    (2021-04-05 11:24:37)
Informar o número de recapagens por pneu</t>
        </r>
      </text>
    </comment>
    <comment ref="D164" authorId="0">
      <text>
        <r>
          <rPr>
            <sz val="10"/>
            <color rgb="FF000000"/>
            <rFont val="Arial"/>
            <scheme val="minor"/>
          </rPr>
          <t>======
ID#AAAAyr_RbJA
Clauber Bridi    (2021-04-05 11:24:37)
Informar o preço unitário de cada recapagem</t>
        </r>
      </text>
    </comment>
    <comment ref="C165" authorId="0">
      <text>
        <r>
          <rPr>
            <sz val="10"/>
            <color rgb="FF000000"/>
            <rFont val="Arial"/>
            <scheme val="minor"/>
          </rPr>
          <t>======
ID#AAAAyr_RbHU
Clauber Bridi    (2021-04-05 11:24:37)
Informar a durabilidade média dos pneus considerando todas as recapagens, em h</t>
        </r>
      </text>
    </comment>
    <comment ref="A172" authorId="0">
      <text>
        <r>
          <rPr>
            <sz val="10"/>
            <color rgb="FF000000"/>
            <rFont val="Arial"/>
            <scheme val="minor"/>
          </rPr>
          <t>======
ID#AAAAyr_RbIs
Clauber Bridi    (2021-04-05 11:24:37)
Especificar somente quando for exigido no Projeto Básico</t>
        </r>
      </text>
    </comment>
    <comment ref="D175" authorId="0">
      <text>
        <r>
          <rPr>
            <sz val="10"/>
            <color rgb="FF000000"/>
            <rFont val="Arial"/>
            <scheme val="minor"/>
          </rPr>
          <t>======
ID#AAAAyr_RbGY
Clauber Bridi    (2021-04-05 11:24:37)
Informar o valor total para instalação do equipamento de monitoramento da frota, se houver previsão no Projeto Básico</t>
        </r>
      </text>
    </comment>
    <comment ref="D177" authorId="0">
      <text>
        <r>
          <rPr>
            <sz val="10"/>
            <color rgb="FF000000"/>
            <rFont val="Arial"/>
            <scheme val="minor"/>
          </rPr>
          <t>======
ID#AAAAyr_RbIw
Clauber Bridi    (2021-04-05 11:24:37)
Informar o valor unitário mensal para manutenção dos equipamentos de monitoramento</t>
        </r>
      </text>
    </comment>
    <comment ref="C188" authorId="0">
      <text>
        <r>
          <rPr>
            <sz val="10"/>
            <color rgb="FF000000"/>
            <rFont val="Arial"/>
            <scheme val="minor"/>
          </rPr>
          <t>======
ID#AAAAyr_RbH0
Clauber Bridi    (2021-04-05 11:24:37)
Preencher a aba 4.BDI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WnDjYMJpY7xUj4r/TkpiiKRhdIQ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  <scheme val="minor"/>
          </rPr>
          <t>======
ID#AAAAyr_RbHE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  <scheme val="minor"/>
          </rPr>
          <t>======
ID#AAAAyr_RbJc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  <scheme val="minor"/>
          </rPr>
          <t>======
ID#AAAAyr_RbI0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  <scheme val="minor"/>
          </rPr>
          <t>======
ID#AAAAyr_RbG4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  <scheme val="minor"/>
          </rPr>
          <t>======
ID#AAAAyr_RbGg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  <scheme val="minor"/>
          </rPr>
          <t>======
ID#AAAAyr_RbIE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  <scheme val="minor"/>
          </rPr>
          <t>======
ID#AAAAyr_RbJI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sOSuVqBtSh+Knf+fuGUV34OW81w=="/>
    </ext>
  </extLst>
</comments>
</file>

<file path=xl/sharedStrings.xml><?xml version="1.0" encoding="utf-8"?>
<sst xmlns="http://schemas.openxmlformats.org/spreadsheetml/2006/main" count="397" uniqueCount="259">
  <si>
    <t>1. Locação de Retroescavadeira - SEMAM</t>
  </si>
  <si>
    <t>Planilha de Composição de Custos</t>
  </si>
  <si>
    <t>Orçamento Sintético</t>
  </si>
  <si>
    <t>Descrição do Item</t>
  </si>
  <si>
    <t>Custo (R$/mês)</t>
  </si>
  <si>
    <t>%</t>
  </si>
  <si>
    <t xml:space="preserve">   3.1.1. Depreciação   </t>
  </si>
  <si>
    <t xml:space="preserve">   3.1.2. Remuneração do Capital   </t>
  </si>
  <si>
    <t>PREÇO TOTAL MENSAL COM A COLETA</t>
  </si>
  <si>
    <t>PREÇO POR HORA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</si>
  <si>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</si>
  <si>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</si>
  <si>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</si>
  <si>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</si>
  <si>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</si>
  <si>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</si>
  <si>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</si>
  <si>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Operador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</si>
  <si>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</si>
  <si>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</si>
  <si>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</si>
  <si>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</si>
  <si>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</si>
  <si>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</si>
  <si>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</si>
  <si>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</si>
  <si>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</si>
  <si>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</si>
  <si>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</si>
  <si>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</si>
  <si>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</si>
  <si>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</si>
  <si>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</si>
  <si>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</si>
  <si>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</si>
  <si>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</si>
  <si>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</si>
  <si>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</si>
  <si>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</si>
  <si>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</si>
  <si>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</si>
  <si>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</si>
  <si>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</si>
  <si>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</si>
  <si>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</si>
  <si>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</si>
  <si>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</si>
  <si>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</si>
  <si>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</si>
  <si>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</si>
  <si>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</si>
  <si>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</si>
  <si>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</si>
  <si>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</si>
  <si>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</si>
  <si>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</si>
  <si>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</si>
  <si>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</si>
  <si>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</si>
  <si>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Camiseta e calça</t>
  </si>
  <si>
    <t>Luva</t>
  </si>
  <si>
    <t>Protetor auricular</t>
  </si>
  <si>
    <t>Botina de borracha</t>
  </si>
  <si>
    <t>Cone de sinalização</t>
  </si>
  <si>
    <t>Custo Mensal com Uniformes e EPIs (R$/mês)</t>
  </si>
  <si>
    <t>3. Veículos e Equipamentos</t>
  </si>
  <si>
    <t>3.1. Retroescavadeira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</si>
  <si>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</si>
  <si>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</si>
  <si>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</si>
  <si>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</si>
  <si>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</si>
  <si>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</si>
  <si>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</si>
  <si>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</si>
  <si>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</si>
  <si>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</si>
  <si>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</si>
  <si>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</si>
  <si>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</si>
  <si>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</si>
  <si>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</si>
  <si>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</si>
  <si>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</si>
  <si>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</si>
  <si>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</si>
  <si>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</si>
  <si>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</si>
  <si>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</si>
  <si>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</si>
  <si>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</si>
  <si>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</si>
  <si>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</si>
  <si>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</si>
  <si>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</si>
  <si>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</si>
  <si>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</si>
  <si>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</si>
  <si>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</si>
  <si>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</si>
  <si>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</si>
  <si>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</si>
  <si>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</si>
  <si>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</si>
  <si>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</si>
  <si>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</si>
  <si>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</si>
  <si>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</si>
  <si>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da Retroescavadeira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</si>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</sst>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-&quot;R$&quot;\ * #,##0.00_-;\-&quot;R$&quot;\ * #,##0.00_-;_-&quot;R$&quot;\ * &quot;-&quot;??_-;_-@"/>
    <numFmt numFmtId="168" formatCode="_(* #,##0_);_(* \(#,##0\);_(* &quot;-&quot;??_);_(@_)"/>
    <numFmt numFmtId="169" formatCode="_-* #,##0.00_-;\-* #,##0.00_-;_-* &quot;-&quot;??_-;_-@"/>
    <numFmt numFmtId="170" formatCode="_(* #,##0.000_);_(* \(#,##0.000\);_(* &quot;-&quot;??_);_(@_)"/>
    <numFmt numFmtId="171" formatCode="0.0000"/>
  </numFmts>
  <fonts count="28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left" vertical="center"/>
    </xf>
    <xf numFmtId="4" fontId="7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6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1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2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164" fontId="9" fillId="4" borderId="38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9" fontId="1" fillId="0" borderId="0" xfId="0" applyNumberFormat="1" applyFont="1" applyAlignment="1">
      <alignment vertical="center"/>
    </xf>
    <xf numFmtId="164" fontId="9" fillId="4" borderId="41" xfId="0" applyNumberFormat="1" applyFont="1" applyFill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64" fontId="1" fillId="3" borderId="18" xfId="0" applyNumberFormat="1" applyFont="1" applyFill="1" applyBorder="1" applyAlignment="1">
      <alignment vertical="center"/>
    </xf>
    <xf numFmtId="164" fontId="1" fillId="0" borderId="42" xfId="0" applyNumberFormat="1" applyFont="1" applyBorder="1" applyAlignment="1">
      <alignment horizontal="center" vertical="center"/>
    </xf>
    <xf numFmtId="0" fontId="1" fillId="3" borderId="43" xfId="0" applyFont="1" applyFill="1" applyBorder="1" applyAlignment="1">
      <alignment vertical="center"/>
    </xf>
    <xf numFmtId="168" fontId="1" fillId="0" borderId="18" xfId="0" applyNumberFormat="1" applyFont="1" applyBorder="1" applyAlignment="1">
      <alignment vertical="center"/>
    </xf>
    <xf numFmtId="164" fontId="7" fillId="4" borderId="47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168" fontId="1" fillId="0" borderId="49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9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37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70" fontId="1" fillId="3" borderId="18" xfId="0" applyNumberFormat="1" applyFont="1" applyFill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Border="1" applyAlignment="1">
      <alignment horizontal="center" vertical="center"/>
    </xf>
    <xf numFmtId="170" fontId="7" fillId="0" borderId="1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64" fontId="15" fillId="7" borderId="53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5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7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7" xfId="0" applyNumberFormat="1" applyFont="1" applyBorder="1" applyAlignment="1">
      <alignment horizontal="right" vertical="center"/>
    </xf>
    <xf numFmtId="0" fontId="17" fillId="8" borderId="55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7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6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19" fillId="6" borderId="43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3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2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8" xfId="0" applyFont="1" applyBorder="1"/>
    <xf numFmtId="0" fontId="5" fillId="3" borderId="27" xfId="0" applyFont="1" applyFill="1" applyBorder="1"/>
    <xf numFmtId="0" fontId="5" fillId="0" borderId="55" xfId="0" applyFont="1" applyBorder="1"/>
    <xf numFmtId="0" fontId="4" fillId="0" borderId="55" xfId="0" applyFont="1" applyBorder="1"/>
    <xf numFmtId="0" fontId="4" fillId="3" borderId="27" xfId="0" applyFont="1" applyFill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60" xfId="0" applyFont="1" applyBorder="1"/>
    <xf numFmtId="0" fontId="4" fillId="0" borderId="61" xfId="0" applyFont="1" applyBorder="1"/>
    <xf numFmtId="0" fontId="4" fillId="3" borderId="62" xfId="0" applyFont="1" applyFill="1" applyBorder="1"/>
    <xf numFmtId="0" fontId="4" fillId="0" borderId="27" xfId="0" applyFont="1" applyBorder="1"/>
    <xf numFmtId="0" fontId="1" fillId="0" borderId="48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3" xfId="0" applyFont="1" applyBorder="1"/>
    <xf numFmtId="10" fontId="5" fillId="0" borderId="27" xfId="0" applyNumberFormat="1" applyFont="1" applyBorder="1"/>
    <xf numFmtId="171" fontId="5" fillId="0" borderId="27" xfId="0" applyNumberFormat="1" applyFont="1" applyBorder="1"/>
    <xf numFmtId="0" fontId="5" fillId="0" borderId="27" xfId="0" applyFont="1" applyBorder="1"/>
    <xf numFmtId="9" fontId="5" fillId="0" borderId="27" xfId="0" applyNumberFormat="1" applyFont="1" applyBorder="1"/>
    <xf numFmtId="0" fontId="5" fillId="0" borderId="31" xfId="0" applyFont="1" applyBorder="1"/>
    <xf numFmtId="9" fontId="5" fillId="0" borderId="3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5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7" xfId="0" applyNumberFormat="1" applyFont="1" applyBorder="1"/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5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7" xfId="0" applyNumberFormat="1" applyFont="1" applyFill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7" xfId="0" applyNumberFormat="1" applyFont="1" applyBorder="1"/>
    <xf numFmtId="0" fontId="4" fillId="0" borderId="55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6" xfId="0" applyFont="1" applyBorder="1" applyAlignment="1">
      <alignment horizontal="left" vertical="center"/>
    </xf>
    <xf numFmtId="10" fontId="4" fillId="3" borderId="5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0" fontId="4" fillId="0" borderId="67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68" xfId="0" applyFont="1" applyBorder="1" applyAlignment="1">
      <alignment vertical="center"/>
    </xf>
    <xf numFmtId="0" fontId="5" fillId="8" borderId="69" xfId="0" applyFont="1" applyFill="1" applyBorder="1" applyAlignment="1">
      <alignment vertical="center" wrapText="1"/>
    </xf>
    <xf numFmtId="0" fontId="4" fillId="8" borderId="53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6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7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/>
    <xf numFmtId="0" fontId="18" fillId="0" borderId="55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6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71" xfId="0" applyFont="1" applyFill="1" applyBorder="1" applyAlignment="1">
      <alignment horizontal="center"/>
    </xf>
    <xf numFmtId="0" fontId="1" fillId="0" borderId="72" xfId="0" applyFont="1" applyBorder="1"/>
    <xf numFmtId="0" fontId="24" fillId="0" borderId="72" xfId="0" applyFont="1" applyBorder="1" applyAlignment="1">
      <alignment horizontal="left"/>
    </xf>
    <xf numFmtId="0" fontId="24" fillId="0" borderId="73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5" xfId="0" applyFont="1" applyBorder="1"/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4" xfId="0" applyFont="1" applyBorder="1"/>
    <xf numFmtId="0" fontId="10" fillId="6" borderId="44" xfId="0" applyFont="1" applyFill="1" applyBorder="1" applyAlignment="1">
      <alignment horizontal="left" vertical="center"/>
    </xf>
    <xf numFmtId="0" fontId="3" fillId="0" borderId="45" xfId="0" applyFont="1" applyBorder="1"/>
    <xf numFmtId="0" fontId="3" fillId="0" borderId="46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4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66" xfId="0" applyFont="1" applyBorder="1"/>
    <xf numFmtId="0" fontId="6" fillId="10" borderId="9" xfId="0" applyFont="1" applyFill="1" applyBorder="1" applyAlignment="1">
      <alignment horizontal="center" vertical="center"/>
    </xf>
    <xf numFmtId="0" fontId="3" fillId="0" borderId="7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2.5703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47" t="s">
        <v>0</v>
      </c>
      <c r="B2" s="248"/>
      <c r="C2" s="248"/>
      <c r="D2" s="248"/>
      <c r="E2" s="248"/>
      <c r="F2" s="249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50" t="s">
        <v>1</v>
      </c>
      <c r="B3" s="251"/>
      <c r="C3" s="251"/>
      <c r="D3" s="251"/>
      <c r="E3" s="251"/>
      <c r="F3" s="252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53" t="s">
        <v>2</v>
      </c>
      <c r="B5" s="254"/>
      <c r="C5" s="254"/>
      <c r="D5" s="254"/>
      <c r="E5" s="254"/>
      <c r="F5" s="255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4004.3039375810458</v>
      </c>
      <c r="F7" s="16">
        <f t="shared" ref="F7:F24" si="0">IFERROR(E7/$E$24,0)</f>
        <v>0.17337710470821738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Operador</v>
      </c>
      <c r="B8" s="20"/>
      <c r="C8" s="20"/>
      <c r="D8" s="20"/>
      <c r="E8" s="21">
        <f>F53</f>
        <v>3391.2086914271995</v>
      </c>
      <c r="F8" s="16">
        <f t="shared" si="0"/>
        <v>0.14683149769499493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155.66524615384617</v>
      </c>
      <c r="F10" s="16">
        <f t="shared" si="0"/>
        <v>6.739945344445916E-3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336</v>
      </c>
      <c r="F11" s="16">
        <f t="shared" si="0"/>
        <v>1.4548023349384423E-2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121.43</v>
      </c>
      <c r="F12" s="16">
        <f t="shared" si="0"/>
        <v>5.2576383193921146E-3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56" t="str">
        <f>A92</f>
        <v>2. Uniformes e Equipamentos de Proteção Individual</v>
      </c>
      <c r="B13" s="257"/>
      <c r="C13" s="257"/>
      <c r="D13" s="14"/>
      <c r="E13" s="15">
        <f>+F106</f>
        <v>45</v>
      </c>
      <c r="F13" s="16">
        <f t="shared" si="0"/>
        <v>1.9483959842925566E-3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A108</f>
        <v>3. Veículos e Equipamentos</v>
      </c>
      <c r="B14" s="23"/>
      <c r="C14" s="14"/>
      <c r="D14" s="14"/>
      <c r="E14" s="15">
        <f>+F170</f>
        <v>12643.174770833335</v>
      </c>
      <c r="F14" s="16">
        <f t="shared" si="0"/>
        <v>0.54742024338223627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A110</f>
        <v>3.1. Retroescavadeira</v>
      </c>
      <c r="B15" s="25"/>
      <c r="C15" s="20"/>
      <c r="D15" s="20"/>
      <c r="E15" s="21">
        <f>SUM(E16:E21)</f>
        <v>12643.174770833335</v>
      </c>
      <c r="F15" s="16">
        <f t="shared" si="0"/>
        <v>0.54742024338223627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6</v>
      </c>
      <c r="B16" s="25"/>
      <c r="C16" s="20"/>
      <c r="D16" s="20"/>
      <c r="E16" s="21">
        <f>F120</f>
        <v>2987.416666666667</v>
      </c>
      <c r="F16" s="16">
        <f t="shared" si="0"/>
        <v>0.12934823637204421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7</v>
      </c>
      <c r="B17" s="25"/>
      <c r="C17" s="20"/>
      <c r="D17" s="20"/>
      <c r="E17" s="21">
        <f>F130</f>
        <v>3805.8201041666671</v>
      </c>
      <c r="F17" s="16">
        <f t="shared" si="0"/>
        <v>0.1647832135088492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A132</f>
        <v>3.1.3. Impostos e Seguros</v>
      </c>
      <c r="B18" s="25"/>
      <c r="C18" s="20"/>
      <c r="D18" s="20"/>
      <c r="E18" s="21">
        <f>F137</f>
        <v>0</v>
      </c>
      <c r="F18" s="16">
        <f t="shared" si="0"/>
        <v>0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A139</f>
        <v>3.1.4. Consumos</v>
      </c>
      <c r="B19" s="25"/>
      <c r="C19" s="20"/>
      <c r="D19" s="20"/>
      <c r="E19" s="21">
        <f>F153</f>
        <v>5304.9380000000001</v>
      </c>
      <c r="F19" s="16">
        <f t="shared" si="0"/>
        <v>0.22969155324713303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A155</f>
        <v>3.1.5. Manutenção</v>
      </c>
      <c r="B20" s="25"/>
      <c r="C20" s="20"/>
      <c r="D20" s="20"/>
      <c r="E20" s="21">
        <f>F158</f>
        <v>400</v>
      </c>
      <c r="F20" s="16">
        <f t="shared" si="0"/>
        <v>1.7319075415933836E-2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A160</f>
        <v>3.1.6. Pneus</v>
      </c>
      <c r="B21" s="25"/>
      <c r="C21" s="20"/>
      <c r="D21" s="20"/>
      <c r="E21" s="21">
        <f>F167</f>
        <v>145</v>
      </c>
      <c r="F21" s="16">
        <f t="shared" si="0"/>
        <v>6.2781648382760156E-3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A172</f>
        <v>4. Monitoramento da Frota</v>
      </c>
      <c r="B22" s="23"/>
      <c r="C22" s="14"/>
      <c r="D22" s="14"/>
      <c r="E22" s="15">
        <f>+F181</f>
        <v>103.33333333333333</v>
      </c>
      <c r="F22" s="16">
        <f t="shared" si="0"/>
        <v>4.4740944824495739E-3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2" t="str">
        <f>A185</f>
        <v>5. Benefícios e Despesas Indiretas - BDI</v>
      </c>
      <c r="B23" s="23"/>
      <c r="C23" s="14"/>
      <c r="D23" s="14"/>
      <c r="E23" s="27">
        <f>+F191</f>
        <v>6300.1090968595681</v>
      </c>
      <c r="F23" s="16">
        <f t="shared" si="0"/>
        <v>0.2727801614428042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8" t="s">
        <v>8</v>
      </c>
      <c r="B24" s="29"/>
      <c r="C24" s="30"/>
      <c r="D24" s="30"/>
      <c r="E24" s="31">
        <f>E7+E13+E14+E22+E23</f>
        <v>23095.921138607282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32" t="s">
        <v>9</v>
      </c>
      <c r="B25" s="33"/>
      <c r="C25" s="33"/>
      <c r="D25" s="14"/>
      <c r="E25" s="34">
        <f>F198</f>
        <v>230.95921138607281</v>
      </c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53" t="s">
        <v>10</v>
      </c>
      <c r="B27" s="254"/>
      <c r="C27" s="254"/>
      <c r="D27" s="254"/>
      <c r="E27" s="255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58" t="s">
        <v>11</v>
      </c>
      <c r="B28" s="254"/>
      <c r="C28" s="254"/>
      <c r="D28" s="259"/>
      <c r="E28" s="35" t="s">
        <v>12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Operador</v>
      </c>
      <c r="B29" s="20"/>
      <c r="C29" s="20"/>
      <c r="D29" s="36"/>
      <c r="E29" s="37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8" t="str">
        <f>A55</f>
        <v>1.2. Auxiliar</v>
      </c>
      <c r="B30" s="39"/>
      <c r="C30" s="39"/>
      <c r="D30" s="40"/>
      <c r="E30" s="41">
        <v>0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42" t="s">
        <v>13</v>
      </c>
      <c r="B31" s="43"/>
      <c r="C31" s="43"/>
      <c r="D31" s="44"/>
      <c r="E31" s="45">
        <f>SUM(E29:E30)</f>
        <v>1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6"/>
      <c r="B32" s="47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60" t="s">
        <v>14</v>
      </c>
      <c r="B33" s="261"/>
      <c r="C33" s="261"/>
      <c r="D33" s="262"/>
      <c r="E33" s="35" t="s">
        <v>12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8" t="str">
        <f>+A110</f>
        <v>3.1. Retroescavadeira</v>
      </c>
      <c r="B34" s="20"/>
      <c r="C34" s="20"/>
      <c r="D34" s="36"/>
      <c r="E34" s="49">
        <f>C119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50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51" t="s">
        <v>15</v>
      </c>
      <c r="B36" s="52">
        <v>1</v>
      </c>
      <c r="C36" s="17"/>
      <c r="D36" s="18"/>
      <c r="E36" s="53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50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16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 t="s">
        <v>17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4" t="s">
        <v>18</v>
      </c>
      <c r="B41" s="55" t="s">
        <v>19</v>
      </c>
      <c r="C41" s="55" t="s">
        <v>12</v>
      </c>
      <c r="D41" s="56" t="s">
        <v>20</v>
      </c>
      <c r="E41" s="56" t="s">
        <v>21</v>
      </c>
      <c r="F41" s="57" t="s">
        <v>22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8" t="s">
        <v>23</v>
      </c>
      <c r="B42" s="59" t="s">
        <v>24</v>
      </c>
      <c r="C42" s="59">
        <v>1</v>
      </c>
      <c r="D42" s="60">
        <v>1987.86</v>
      </c>
      <c r="E42" s="61">
        <f>C42*D42</f>
        <v>1987.86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8" t="s">
        <v>25</v>
      </c>
      <c r="B43" s="59" t="s">
        <v>24</v>
      </c>
      <c r="C43" s="59">
        <v>1</v>
      </c>
      <c r="D43" s="60">
        <v>1320</v>
      </c>
      <c r="E43" s="61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62" t="s">
        <v>26</v>
      </c>
      <c r="B44" s="63" t="s">
        <v>27</v>
      </c>
      <c r="C44" s="64">
        <v>0</v>
      </c>
      <c r="D44" s="65">
        <f>D42/220*2</f>
        <v>18.071454545454543</v>
      </c>
      <c r="E44" s="65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62" t="s">
        <v>28</v>
      </c>
      <c r="B45" s="63" t="s">
        <v>27</v>
      </c>
      <c r="C45" s="64">
        <v>0</v>
      </c>
      <c r="D45" s="65">
        <f>D42/220*1.5</f>
        <v>13.553590909090907</v>
      </c>
      <c r="E45" s="65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62" t="s">
        <v>29</v>
      </c>
      <c r="B46" s="63" t="s">
        <v>30</v>
      </c>
      <c r="C46" s="1"/>
      <c r="D46" s="65">
        <f>63/302*(SUM(E44:E45))</f>
        <v>0</v>
      </c>
      <c r="E46" s="65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2" t="s">
        <v>31</v>
      </c>
      <c r="B47" s="63"/>
      <c r="C47" s="66">
        <v>1</v>
      </c>
      <c r="D47" s="65"/>
      <c r="E47" s="65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2" t="s">
        <v>32</v>
      </c>
      <c r="B48" s="63" t="s">
        <v>5</v>
      </c>
      <c r="C48" s="67"/>
      <c r="D48" s="65">
        <f>IF(C47=2,SUM(E42:E46),IF(C47=1,(SUM(E42:E46))*D43/D42,0))</f>
        <v>1320</v>
      </c>
      <c r="E48" s="65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8" t="s">
        <v>33</v>
      </c>
      <c r="B49" s="69"/>
      <c r="C49" s="69"/>
      <c r="D49" s="70"/>
      <c r="E49" s="71">
        <f>SUM(E42:E48)</f>
        <v>1987.86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62" t="s">
        <v>34</v>
      </c>
      <c r="B50" s="63" t="s">
        <v>5</v>
      </c>
      <c r="C50" s="72">
        <f>'2.Encargos Sociais'!C37*100</f>
        <v>70.595951999999997</v>
      </c>
      <c r="D50" s="65">
        <f>E49</f>
        <v>1987.86</v>
      </c>
      <c r="E50" s="65">
        <f>D50*C50/100</f>
        <v>1403.3486914271998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8" t="s">
        <v>35</v>
      </c>
      <c r="B51" s="73"/>
      <c r="C51" s="73"/>
      <c r="D51" s="74"/>
      <c r="E51" s="71">
        <f>E49+E50</f>
        <v>3391.2086914271995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62" t="s">
        <v>36</v>
      </c>
      <c r="B52" s="63" t="s">
        <v>37</v>
      </c>
      <c r="C52" s="67">
        <v>1</v>
      </c>
      <c r="D52" s="65">
        <f>E51</f>
        <v>3391.2086914271995</v>
      </c>
      <c r="E52" s="65">
        <f>C52*D52</f>
        <v>3391.2086914271995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5" t="s">
        <v>38</v>
      </c>
      <c r="E53" s="76">
        <f>$B$36</f>
        <v>1</v>
      </c>
      <c r="F53" s="77">
        <f>E52*E53</f>
        <v>3391.2086914271995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8" t="s">
        <v>39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4" t="s">
        <v>18</v>
      </c>
      <c r="B56" s="55" t="s">
        <v>19</v>
      </c>
      <c r="C56" s="55" t="s">
        <v>12</v>
      </c>
      <c r="D56" s="56" t="s">
        <v>20</v>
      </c>
      <c r="E56" s="56" t="s">
        <v>21</v>
      </c>
      <c r="F56" s="57" t="s">
        <v>40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8" t="s">
        <v>23</v>
      </c>
      <c r="B57" s="59" t="s">
        <v>24</v>
      </c>
      <c r="C57" s="78">
        <v>0</v>
      </c>
      <c r="D57" s="79">
        <v>1294.67</v>
      </c>
      <c r="E57" s="61">
        <f>C57*D57</f>
        <v>0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8" t="s">
        <v>25</v>
      </c>
      <c r="B58" s="59" t="s">
        <v>24</v>
      </c>
      <c r="C58" s="59">
        <v>1</v>
      </c>
      <c r="D58" s="79">
        <v>1212</v>
      </c>
      <c r="E58" s="61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62" t="s">
        <v>26</v>
      </c>
      <c r="B59" s="63" t="s">
        <v>27</v>
      </c>
      <c r="C59" s="64">
        <v>0</v>
      </c>
      <c r="D59" s="65">
        <f>D57/220*2</f>
        <v>11.769727272727273</v>
      </c>
      <c r="E59" s="65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62" t="s">
        <v>28</v>
      </c>
      <c r="B60" s="63" t="s">
        <v>27</v>
      </c>
      <c r="C60" s="64">
        <v>0</v>
      </c>
      <c r="D60" s="65">
        <f>D57/220*1.5</f>
        <v>8.8272954545454549</v>
      </c>
      <c r="E60" s="65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62" t="s">
        <v>29</v>
      </c>
      <c r="B61" s="63" t="s">
        <v>30</v>
      </c>
      <c r="C61" s="1"/>
      <c r="D61" s="65">
        <f>63/302*(SUM(E59:E60))</f>
        <v>0</v>
      </c>
      <c r="E61" s="65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62" t="s">
        <v>31</v>
      </c>
      <c r="B62" s="63"/>
      <c r="C62" s="66">
        <v>1</v>
      </c>
      <c r="D62" s="65"/>
      <c r="E62" s="65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62" t="s">
        <v>32</v>
      </c>
      <c r="B63" s="63" t="s">
        <v>5</v>
      </c>
      <c r="C63" s="67">
        <v>40</v>
      </c>
      <c r="D63" s="65">
        <f>IF(C62=2,SUM(E57:E61),IF(C62=1,(SUM(E57:E61))*D58/D57,0))</f>
        <v>0</v>
      </c>
      <c r="E63" s="65">
        <f>C63*D63/100</f>
        <v>0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8" t="s">
        <v>33</v>
      </c>
      <c r="B64" s="69"/>
      <c r="C64" s="69"/>
      <c r="D64" s="70"/>
      <c r="E64" s="71">
        <f>SUM(E57:E63)</f>
        <v>0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62" t="s">
        <v>34</v>
      </c>
      <c r="B65" s="63" t="s">
        <v>5</v>
      </c>
      <c r="C65" s="72">
        <f>'2.Encargos Sociais'!C37*100</f>
        <v>70.595951999999997</v>
      </c>
      <c r="D65" s="65">
        <f>E64</f>
        <v>0</v>
      </c>
      <c r="E65" s="65">
        <f>D65*C65/100</f>
        <v>0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8" t="s">
        <v>35</v>
      </c>
      <c r="B66" s="73"/>
      <c r="C66" s="73"/>
      <c r="D66" s="74"/>
      <c r="E66" s="71">
        <f>E64+E65</f>
        <v>0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62" t="s">
        <v>36</v>
      </c>
      <c r="B67" s="63" t="s">
        <v>37</v>
      </c>
      <c r="C67" s="66">
        <f>E30</f>
        <v>0</v>
      </c>
      <c r="D67" s="65">
        <f>E66</f>
        <v>0</v>
      </c>
      <c r="E67" s="65">
        <f>C67*D67</f>
        <v>0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5" t="s">
        <v>38</v>
      </c>
      <c r="E68" s="76">
        <f>$B$36</f>
        <v>1</v>
      </c>
      <c r="F68" s="77">
        <f>E67*E68</f>
        <v>0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 t="s">
        <v>41</v>
      </c>
      <c r="B70" s="80"/>
      <c r="C70" s="1"/>
      <c r="D70" s="3"/>
      <c r="E70" s="1"/>
      <c r="F70" s="3"/>
      <c r="G70" s="3"/>
      <c r="H70" s="1"/>
      <c r="I70" s="81"/>
      <c r="J70" s="8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54" t="s">
        <v>18</v>
      </c>
      <c r="B71" s="55" t="s">
        <v>19</v>
      </c>
      <c r="C71" s="55" t="s">
        <v>12</v>
      </c>
      <c r="D71" s="82" t="s">
        <v>20</v>
      </c>
      <c r="E71" s="56" t="s">
        <v>21</v>
      </c>
      <c r="F71" s="57" t="s">
        <v>42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2" t="s">
        <v>43</v>
      </c>
      <c r="B72" s="63" t="s">
        <v>30</v>
      </c>
      <c r="C72" s="83">
        <v>1</v>
      </c>
      <c r="D72" s="84">
        <v>6</v>
      </c>
      <c r="E72" s="85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62" t="s">
        <v>44</v>
      </c>
      <c r="B73" s="63" t="s">
        <v>45</v>
      </c>
      <c r="C73" s="86">
        <v>21</v>
      </c>
      <c r="D73" s="61"/>
      <c r="E73" s="61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58" t="s">
        <v>46</v>
      </c>
      <c r="B74" s="59" t="s">
        <v>47</v>
      </c>
      <c r="C74" s="87">
        <f>$C$73*2*C67</f>
        <v>0</v>
      </c>
      <c r="D74" s="61">
        <f>IFERROR((($C$73*2*$D$72)-(E57*0.06*C72/26))/($C$73*2),"-")</f>
        <v>6</v>
      </c>
      <c r="E74" s="61">
        <f t="shared" ref="E74:E75" si="3">IFERROR(C74*D74,"-")</f>
        <v>0</v>
      </c>
      <c r="F74" s="3"/>
      <c r="G74" s="3"/>
      <c r="H74" s="1"/>
      <c r="I74" s="81"/>
      <c r="J74" s="8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58" t="s">
        <v>48</v>
      </c>
      <c r="B75" s="59" t="s">
        <v>47</v>
      </c>
      <c r="C75" s="87">
        <f>$C$73*2*C52</f>
        <v>42</v>
      </c>
      <c r="D75" s="61">
        <f>IFERROR((($C$73*2*$D$72)-(E42*0.06*C73/26))/($C$73*2),"-")</f>
        <v>3.7063153846153849</v>
      </c>
      <c r="E75" s="61">
        <f t="shared" si="3"/>
        <v>155.66524615384617</v>
      </c>
      <c r="F75" s="3"/>
      <c r="G75" s="3"/>
      <c r="H75" s="1"/>
      <c r="I75" s="81"/>
      <c r="J75" s="8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63"/>
      <c r="B76" s="264"/>
      <c r="C76" s="264"/>
      <c r="D76" s="264"/>
      <c r="E76" s="265"/>
      <c r="F76" s="88">
        <f>SUM(E73:E75)</f>
        <v>155.66524615384617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 t="s">
        <v>49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4" t="s">
        <v>18</v>
      </c>
      <c r="B79" s="55" t="s">
        <v>19</v>
      </c>
      <c r="C79" s="55" t="s">
        <v>12</v>
      </c>
      <c r="D79" s="56" t="s">
        <v>20</v>
      </c>
      <c r="E79" s="56" t="s">
        <v>21</v>
      </c>
      <c r="F79" s="57" t="s">
        <v>50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9" t="str">
        <f>A74</f>
        <v>Auxiliar</v>
      </c>
      <c r="B80" s="63" t="s">
        <v>51</v>
      </c>
      <c r="C80" s="90">
        <f>C73*C67</f>
        <v>0</v>
      </c>
      <c r="D80" s="91">
        <v>10.25</v>
      </c>
      <c r="E80" s="92">
        <f t="shared" ref="E80:E81" si="4">C80*D80</f>
        <v>0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62" t="str">
        <f>+A75</f>
        <v>Motorista</v>
      </c>
      <c r="B81" s="63" t="s">
        <v>51</v>
      </c>
      <c r="C81" s="87">
        <f>C73</f>
        <v>21</v>
      </c>
      <c r="D81" s="93">
        <v>16</v>
      </c>
      <c r="E81" s="76">
        <f t="shared" si="4"/>
        <v>336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8">
        <f>SUM(E80:E81)</f>
        <v>336</v>
      </c>
      <c r="G82" s="3"/>
      <c r="H82" s="1"/>
      <c r="I82" s="81"/>
      <c r="J82" s="8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81"/>
      <c r="J83" s="8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52</v>
      </c>
      <c r="B84" s="1"/>
      <c r="C84" s="1"/>
      <c r="D84" s="3"/>
      <c r="E84" s="3"/>
      <c r="F84" s="17"/>
      <c r="G84" s="3"/>
      <c r="H84" s="1"/>
      <c r="I84" s="81"/>
      <c r="J84" s="8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4" t="s">
        <v>18</v>
      </c>
      <c r="B85" s="55" t="s">
        <v>19</v>
      </c>
      <c r="C85" s="55" t="s">
        <v>12</v>
      </c>
      <c r="D85" s="56" t="s">
        <v>20</v>
      </c>
      <c r="E85" s="56" t="s">
        <v>21</v>
      </c>
      <c r="F85" s="57" t="s">
        <v>53</v>
      </c>
      <c r="G85" s="3"/>
      <c r="H85" s="1"/>
      <c r="I85" s="81"/>
      <c r="J85" s="8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9" t="str">
        <f>A74</f>
        <v>Auxiliar</v>
      </c>
      <c r="B86" s="63" t="s">
        <v>51</v>
      </c>
      <c r="C86" s="90">
        <f>C67</f>
        <v>0</v>
      </c>
      <c r="D86" s="91">
        <v>77.790000000000006</v>
      </c>
      <c r="E86" s="92">
        <f t="shared" ref="E86:E87" si="5">C86*D86</f>
        <v>0</v>
      </c>
      <c r="F86" s="17"/>
      <c r="G86" s="3"/>
      <c r="H86" s="1"/>
      <c r="I86" s="81"/>
      <c r="J86" s="8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62" t="str">
        <f>+A81</f>
        <v>Motorista</v>
      </c>
      <c r="B87" s="63" t="s">
        <v>51</v>
      </c>
      <c r="C87" s="87">
        <f>E29</f>
        <v>1</v>
      </c>
      <c r="D87" s="93">
        <v>121.43</v>
      </c>
      <c r="E87" s="76">
        <f t="shared" si="5"/>
        <v>121.43</v>
      </c>
      <c r="F87" s="17"/>
      <c r="G87" s="3"/>
      <c r="H87" s="1"/>
      <c r="I87" s="81"/>
      <c r="J87" s="8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5" t="s">
        <v>38</v>
      </c>
      <c r="E88" s="76">
        <f>$B$36</f>
        <v>1</v>
      </c>
      <c r="F88" s="88">
        <f>SUM(E86:E87)*E88</f>
        <v>121.43</v>
      </c>
      <c r="G88" s="3"/>
      <c r="H88" s="1"/>
      <c r="I88" s="81"/>
      <c r="J88" s="8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81"/>
      <c r="J89" s="8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94" t="s">
        <v>54</v>
      </c>
      <c r="B90" s="95"/>
      <c r="C90" s="95"/>
      <c r="D90" s="96"/>
      <c r="E90" s="97"/>
      <c r="F90" s="88">
        <f>F88+F82+F76+F68+F53</f>
        <v>4004.3039375810458</v>
      </c>
      <c r="G90" s="3"/>
      <c r="H90" s="1"/>
      <c r="I90" s="81"/>
      <c r="J90" s="8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81"/>
      <c r="J91" s="8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55</v>
      </c>
      <c r="B92" s="1"/>
      <c r="C92" s="1"/>
      <c r="D92" s="3"/>
      <c r="E92" s="3"/>
      <c r="F92" s="3"/>
      <c r="G92" s="3"/>
      <c r="H92" s="1"/>
      <c r="I92" s="81"/>
      <c r="J92" s="8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81"/>
      <c r="J93" s="8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56</v>
      </c>
      <c r="B94" s="1"/>
      <c r="C94" s="1"/>
      <c r="D94" s="3"/>
      <c r="E94" s="3"/>
      <c r="F94" s="3"/>
      <c r="G94" s="3"/>
      <c r="H94" s="1"/>
      <c r="I94" s="81"/>
      <c r="J94" s="8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3"/>
      <c r="E95" s="3"/>
      <c r="F95" s="3"/>
      <c r="G95" s="3"/>
      <c r="H95" s="1"/>
      <c r="I95" s="81"/>
      <c r="J95" s="8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 x14ac:dyDescent="0.2">
      <c r="A96" s="54" t="s">
        <v>18</v>
      </c>
      <c r="B96" s="55" t="s">
        <v>19</v>
      </c>
      <c r="C96" s="98" t="s">
        <v>57</v>
      </c>
      <c r="D96" s="56" t="s">
        <v>20</v>
      </c>
      <c r="E96" s="56" t="s">
        <v>21</v>
      </c>
      <c r="F96" s="57" t="s">
        <v>58</v>
      </c>
      <c r="G96" s="3"/>
      <c r="H96" s="1"/>
      <c r="I96" s="81"/>
      <c r="J96" s="8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62" t="s">
        <v>59</v>
      </c>
      <c r="B97" s="63" t="s">
        <v>51</v>
      </c>
      <c r="C97" s="99">
        <v>6</v>
      </c>
      <c r="D97" s="79">
        <v>100</v>
      </c>
      <c r="E97" s="61">
        <f t="shared" ref="E97:E101" si="6">IFERROR(D97/C97,0)</f>
        <v>16.666666666666668</v>
      </c>
      <c r="F97" s="3"/>
      <c r="G97" s="3"/>
      <c r="H97" s="1"/>
      <c r="I97" s="81"/>
      <c r="J97" s="8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62" t="s">
        <v>60</v>
      </c>
      <c r="B98" s="63" t="s">
        <v>51</v>
      </c>
      <c r="C98" s="67">
        <v>1</v>
      </c>
      <c r="D98" s="79">
        <v>5</v>
      </c>
      <c r="E98" s="61">
        <f t="shared" si="6"/>
        <v>5</v>
      </c>
      <c r="F98" s="3"/>
      <c r="G98" s="3"/>
      <c r="H98" s="1"/>
      <c r="I98" s="81"/>
      <c r="J98" s="8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62" t="s">
        <v>61</v>
      </c>
      <c r="B99" s="63" t="s">
        <v>51</v>
      </c>
      <c r="C99" s="67">
        <v>1</v>
      </c>
      <c r="D99" s="79">
        <v>5</v>
      </c>
      <c r="E99" s="61">
        <f t="shared" si="6"/>
        <v>5</v>
      </c>
      <c r="F99" s="3"/>
      <c r="G99" s="3"/>
      <c r="H99" s="1"/>
      <c r="I99" s="81"/>
      <c r="J99" s="8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62" t="s">
        <v>62</v>
      </c>
      <c r="B100" s="63" t="s">
        <v>51</v>
      </c>
      <c r="C100" s="99">
        <v>6</v>
      </c>
      <c r="D100" s="79">
        <v>50</v>
      </c>
      <c r="E100" s="61">
        <f t="shared" si="6"/>
        <v>8.3333333333333339</v>
      </c>
      <c r="F100" s="3"/>
      <c r="G100" s="3"/>
      <c r="H100" s="1"/>
      <c r="I100" s="81"/>
      <c r="J100" s="8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62" t="s">
        <v>63</v>
      </c>
      <c r="B101" s="63" t="s">
        <v>51</v>
      </c>
      <c r="C101" s="99">
        <v>12</v>
      </c>
      <c r="D101" s="79">
        <v>120</v>
      </c>
      <c r="E101" s="61">
        <f t="shared" si="6"/>
        <v>10</v>
      </c>
      <c r="F101" s="3"/>
      <c r="G101" s="3"/>
      <c r="H101" s="1"/>
      <c r="I101" s="81"/>
      <c r="J101" s="8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62" t="s">
        <v>36</v>
      </c>
      <c r="B102" s="63" t="s">
        <v>37</v>
      </c>
      <c r="C102" s="49">
        <f>C52+C67</f>
        <v>1</v>
      </c>
      <c r="D102" s="65">
        <f>+SUM(E97:E101)</f>
        <v>45</v>
      </c>
      <c r="E102" s="65">
        <f>C102*D102</f>
        <v>45</v>
      </c>
      <c r="F102" s="3"/>
      <c r="G102" s="3"/>
      <c r="H102" s="1"/>
      <c r="I102" s="81"/>
      <c r="J102" s="8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75" t="s">
        <v>38</v>
      </c>
      <c r="E103" s="76">
        <f>$B$36</f>
        <v>1</v>
      </c>
      <c r="F103" s="77">
        <f>E102*E103</f>
        <v>45</v>
      </c>
      <c r="G103" s="3"/>
      <c r="H103" s="1"/>
      <c r="I103" s="81"/>
      <c r="J103" s="8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81"/>
      <c r="J104" s="8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81"/>
      <c r="J105" s="8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94" t="s">
        <v>64</v>
      </c>
      <c r="B106" s="100"/>
      <c r="C106" s="100"/>
      <c r="D106" s="101"/>
      <c r="E106" s="102"/>
      <c r="F106" s="103">
        <f>F103</f>
        <v>45</v>
      </c>
      <c r="G106" s="3"/>
      <c r="H106" s="1"/>
      <c r="I106" s="81"/>
      <c r="J106" s="8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3"/>
      <c r="E107" s="3"/>
      <c r="F107" s="3"/>
      <c r="G107" s="3"/>
      <c r="H107" s="1"/>
      <c r="I107" s="81"/>
      <c r="J107" s="8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8" t="s">
        <v>65</v>
      </c>
      <c r="B108" s="1"/>
      <c r="C108" s="1"/>
      <c r="D108" s="3"/>
      <c r="E108" s="3"/>
      <c r="F108" s="3"/>
      <c r="G108" s="3"/>
      <c r="H108" s="1"/>
      <c r="I108" s="81"/>
      <c r="J108" s="8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04"/>
      <c r="C109" s="1"/>
      <c r="D109" s="3"/>
      <c r="E109" s="3"/>
      <c r="F109" s="3"/>
      <c r="G109" s="3"/>
      <c r="H109" s="1"/>
      <c r="I109" s="81"/>
      <c r="J109" s="8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 t="s">
        <v>66</v>
      </c>
      <c r="B110" s="1"/>
      <c r="C110" s="1"/>
      <c r="D110" s="3"/>
      <c r="E110" s="3"/>
      <c r="F110" s="3"/>
      <c r="G110" s="3"/>
      <c r="H110" s="1"/>
      <c r="I110" s="81"/>
      <c r="J110" s="8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3"/>
      <c r="E111" s="3"/>
      <c r="F111" s="3"/>
      <c r="G111" s="3"/>
      <c r="H111" s="1"/>
      <c r="I111" s="81"/>
      <c r="J111" s="8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04" t="s">
        <v>67</v>
      </c>
      <c r="B112" s="1"/>
      <c r="C112" s="1"/>
      <c r="D112" s="3"/>
      <c r="E112" s="3"/>
      <c r="F112" s="3"/>
      <c r="G112" s="3"/>
      <c r="H112" s="1"/>
      <c r="I112" s="81"/>
      <c r="J112" s="8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4" t="s">
        <v>18</v>
      </c>
      <c r="B113" s="55" t="s">
        <v>19</v>
      </c>
      <c r="C113" s="55" t="s">
        <v>12</v>
      </c>
      <c r="D113" s="56" t="s">
        <v>20</v>
      </c>
      <c r="E113" s="56" t="s">
        <v>21</v>
      </c>
      <c r="F113" s="57" t="s">
        <v>68</v>
      </c>
      <c r="G113" s="3"/>
      <c r="H113" s="1"/>
      <c r="I113" s="81"/>
      <c r="J113" s="8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8" t="s">
        <v>69</v>
      </c>
      <c r="B114" s="59" t="s">
        <v>51</v>
      </c>
      <c r="C114" s="59">
        <v>1</v>
      </c>
      <c r="D114" s="60">
        <v>550000</v>
      </c>
      <c r="E114" s="61">
        <f>C114*D114</f>
        <v>550000</v>
      </c>
      <c r="F114" s="3"/>
      <c r="G114" s="3"/>
      <c r="H114" s="1"/>
      <c r="I114" s="81"/>
      <c r="J114" s="8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62" t="s">
        <v>70</v>
      </c>
      <c r="B115" s="63" t="s">
        <v>71</v>
      </c>
      <c r="C115" s="67">
        <v>10</v>
      </c>
      <c r="D115" s="65"/>
      <c r="E115" s="65"/>
      <c r="F115" s="3"/>
      <c r="G115" s="3"/>
      <c r="H115" s="1"/>
      <c r="I115" s="81"/>
      <c r="J115" s="8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62" t="s">
        <v>72</v>
      </c>
      <c r="B116" s="63" t="s">
        <v>71</v>
      </c>
      <c r="C116" s="67">
        <v>0</v>
      </c>
      <c r="D116" s="65"/>
      <c r="E116" s="65"/>
      <c r="F116" s="105"/>
      <c r="G116" s="3"/>
      <c r="H116" s="1"/>
      <c r="I116" s="81"/>
      <c r="J116" s="8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62" t="s">
        <v>73</v>
      </c>
      <c r="B117" s="63" t="s">
        <v>5</v>
      </c>
      <c r="C117" s="72">
        <f>IFERROR(VLOOKUP(C115,'5. Depreciação'!A3:B17,2,FALSE),0)</f>
        <v>65.180000000000007</v>
      </c>
      <c r="D117" s="65">
        <f>E114</f>
        <v>550000</v>
      </c>
      <c r="E117" s="65">
        <f>C117*D117/100</f>
        <v>358490.00000000006</v>
      </c>
      <c r="F117" s="3"/>
      <c r="G117" s="3"/>
      <c r="H117" s="1"/>
      <c r="I117" s="81"/>
      <c r="J117" s="8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06" t="s">
        <v>74</v>
      </c>
      <c r="B118" s="107" t="s">
        <v>24</v>
      </c>
      <c r="C118" s="107">
        <f>C115*12</f>
        <v>120</v>
      </c>
      <c r="D118" s="108">
        <f>IF(C116&lt;=C115,E117,0)</f>
        <v>358490.00000000006</v>
      </c>
      <c r="E118" s="108">
        <f>IFERROR(D118/C118,0)</f>
        <v>2987.416666666667</v>
      </c>
      <c r="F118" s="3"/>
      <c r="G118" s="3"/>
      <c r="H118" s="1"/>
      <c r="I118" s="81"/>
      <c r="J118" s="8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68" t="s">
        <v>75</v>
      </c>
      <c r="B119" s="109" t="s">
        <v>51</v>
      </c>
      <c r="C119" s="67">
        <v>1</v>
      </c>
      <c r="D119" s="71">
        <f>E118</f>
        <v>2987.416666666667</v>
      </c>
      <c r="E119" s="110">
        <f>C119*D119</f>
        <v>2987.416666666667</v>
      </c>
      <c r="F119" s="3"/>
      <c r="G119" s="3"/>
      <c r="H119" s="1"/>
      <c r="I119" s="81"/>
      <c r="J119" s="8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11"/>
      <c r="B120" s="111"/>
      <c r="C120" s="111"/>
      <c r="D120" s="75" t="s">
        <v>38</v>
      </c>
      <c r="E120" s="76">
        <f>$B$36</f>
        <v>1</v>
      </c>
      <c r="F120" s="103">
        <f>E119*E120</f>
        <v>2987.416666666667</v>
      </c>
      <c r="G120" s="3"/>
      <c r="H120" s="1"/>
      <c r="I120" s="81"/>
      <c r="J120" s="8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04" t="s">
        <v>76</v>
      </c>
      <c r="B122" s="1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12" t="s">
        <v>18</v>
      </c>
      <c r="B123" s="113" t="s">
        <v>19</v>
      </c>
      <c r="C123" s="113" t="s">
        <v>12</v>
      </c>
      <c r="D123" s="56" t="s">
        <v>20</v>
      </c>
      <c r="E123" s="82" t="s">
        <v>21</v>
      </c>
      <c r="F123" s="57" t="s">
        <v>77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62" t="s">
        <v>78</v>
      </c>
      <c r="B124" s="63" t="s">
        <v>51</v>
      </c>
      <c r="C124" s="59">
        <v>1</v>
      </c>
      <c r="D124" s="65">
        <f>D114</f>
        <v>550000</v>
      </c>
      <c r="E124" s="65">
        <f>C124*D124</f>
        <v>550000</v>
      </c>
      <c r="F124" s="105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62" t="s">
        <v>79</v>
      </c>
      <c r="B125" s="63" t="s">
        <v>5</v>
      </c>
      <c r="C125" s="67">
        <v>11.75</v>
      </c>
      <c r="D125" s="65"/>
      <c r="E125" s="65"/>
      <c r="F125" s="105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62" t="s">
        <v>80</v>
      </c>
      <c r="B126" s="63" t="s">
        <v>30</v>
      </c>
      <c r="C126" s="65">
        <f>IFERROR(IF(C116&lt;=C115,E114-(C117/(100*C115)*C116)*E114,E114-E117),0)</f>
        <v>550000</v>
      </c>
      <c r="D126" s="65"/>
      <c r="E126" s="65"/>
      <c r="F126" s="105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62" t="s">
        <v>81</v>
      </c>
      <c r="B127" s="63" t="s">
        <v>30</v>
      </c>
      <c r="C127" s="65">
        <f>IFERROR(IF(C116&gt;=C115,C126,((((C126)-(E114-E117))*(((C115-C116)+1)/(2*(C115-C116))))+(E114-E117))),0)</f>
        <v>388679.5</v>
      </c>
      <c r="D127" s="65"/>
      <c r="E127" s="65"/>
      <c r="F127" s="105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06" t="s">
        <v>82</v>
      </c>
      <c r="B128" s="107" t="s">
        <v>30</v>
      </c>
      <c r="C128" s="107"/>
      <c r="D128" s="108">
        <f>C125*C127/12/100</f>
        <v>3805.8201041666671</v>
      </c>
      <c r="E128" s="108">
        <f>D128</f>
        <v>3805.8201041666671</v>
      </c>
      <c r="F128" s="105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68" t="s">
        <v>75</v>
      </c>
      <c r="B129" s="109" t="s">
        <v>51</v>
      </c>
      <c r="C129" s="63">
        <f>C119</f>
        <v>1</v>
      </c>
      <c r="D129" s="71">
        <f>E128</f>
        <v>3805.8201041666671</v>
      </c>
      <c r="E129" s="110">
        <f>C129*D129</f>
        <v>3805.8201041666671</v>
      </c>
      <c r="F129" s="105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14"/>
      <c r="D130" s="75" t="s">
        <v>38</v>
      </c>
      <c r="E130" s="76">
        <f>$B$36</f>
        <v>1</v>
      </c>
      <c r="F130" s="103">
        <f>E129*E130</f>
        <v>3805.8201041666671</v>
      </c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 t="s">
        <v>83</v>
      </c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4" t="s">
        <v>18</v>
      </c>
      <c r="B133" s="55" t="s">
        <v>19</v>
      </c>
      <c r="C133" s="55" t="s">
        <v>12</v>
      </c>
      <c r="D133" s="56" t="s">
        <v>20</v>
      </c>
      <c r="E133" s="56" t="s">
        <v>21</v>
      </c>
      <c r="F133" s="57" t="s">
        <v>84</v>
      </c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8" t="s">
        <v>85</v>
      </c>
      <c r="B134" s="59" t="s">
        <v>51</v>
      </c>
      <c r="C134" s="60">
        <v>0</v>
      </c>
      <c r="D134" s="61">
        <f>0.01*($E$114)</f>
        <v>5500</v>
      </c>
      <c r="E134" s="61">
        <f t="shared" ref="E134:E135" si="7">C134*D134</f>
        <v>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62" t="s">
        <v>86</v>
      </c>
      <c r="B135" s="63" t="s">
        <v>51</v>
      </c>
      <c r="C135" s="61">
        <f>C134</f>
        <v>0</v>
      </c>
      <c r="D135" s="91">
        <v>150</v>
      </c>
      <c r="E135" s="65">
        <f t="shared" si="7"/>
        <v>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8" t="s">
        <v>87</v>
      </c>
      <c r="B136" s="109" t="s">
        <v>24</v>
      </c>
      <c r="C136" s="109">
        <v>12</v>
      </c>
      <c r="D136" s="71">
        <f>SUM(E134:E135)</f>
        <v>0</v>
      </c>
      <c r="E136" s="71">
        <f>D136/C136</f>
        <v>0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5" t="s">
        <v>38</v>
      </c>
      <c r="E137" s="76">
        <f>$B$36</f>
        <v>1</v>
      </c>
      <c r="F137" s="77">
        <f>E136*E137</f>
        <v>0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3"/>
      <c r="E138" s="3"/>
      <c r="F138" s="3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2.75" customHeight="1" x14ac:dyDescent="0.2">
      <c r="A139" s="1" t="s">
        <v>88</v>
      </c>
      <c r="B139" s="116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16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2">
      <c r="A141" s="68" t="s">
        <v>89</v>
      </c>
      <c r="B141" s="117">
        <v>100</v>
      </c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6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12" t="s">
        <v>18</v>
      </c>
      <c r="B143" s="113" t="s">
        <v>19</v>
      </c>
      <c r="C143" s="113" t="s">
        <v>90</v>
      </c>
      <c r="D143" s="82" t="s">
        <v>20</v>
      </c>
      <c r="E143" s="82" t="s">
        <v>21</v>
      </c>
      <c r="F143" s="57" t="s">
        <v>91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62" t="s">
        <v>92</v>
      </c>
      <c r="B144" s="63" t="s">
        <v>93</v>
      </c>
      <c r="C144" s="118">
        <v>10</v>
      </c>
      <c r="D144" s="119">
        <v>5.09</v>
      </c>
      <c r="E144" s="65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62" t="s">
        <v>94</v>
      </c>
      <c r="B145" s="63" t="s">
        <v>95</v>
      </c>
      <c r="C145" s="120">
        <f>B141</f>
        <v>100</v>
      </c>
      <c r="D145" s="121">
        <f>IFERROR(+D144*C144,"-")</f>
        <v>50.9</v>
      </c>
      <c r="E145" s="65">
        <f>IFERROR(C145*D145,"-")</f>
        <v>5090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62" t="s">
        <v>96</v>
      </c>
      <c r="B146" s="63" t="s">
        <v>97</v>
      </c>
      <c r="C146" s="122">
        <v>30</v>
      </c>
      <c r="D146" s="93">
        <v>50</v>
      </c>
      <c r="E146" s="65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62" t="s">
        <v>98</v>
      </c>
      <c r="B147" s="63" t="s">
        <v>95</v>
      </c>
      <c r="C147" s="120">
        <f>C145</f>
        <v>100</v>
      </c>
      <c r="D147" s="121">
        <f>+C146*D146/1000</f>
        <v>1.5</v>
      </c>
      <c r="E147" s="65">
        <f>C147*D147</f>
        <v>150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62" t="s">
        <v>99</v>
      </c>
      <c r="B148" s="63" t="s">
        <v>97</v>
      </c>
      <c r="C148" s="122">
        <v>40</v>
      </c>
      <c r="D148" s="93">
        <v>16</v>
      </c>
      <c r="E148" s="65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62" t="s">
        <v>100</v>
      </c>
      <c r="B149" s="63" t="s">
        <v>95</v>
      </c>
      <c r="C149" s="120">
        <f>C145</f>
        <v>100</v>
      </c>
      <c r="D149" s="121">
        <f>+C148*D148/1000</f>
        <v>0.64</v>
      </c>
      <c r="E149" s="65">
        <f>C149*D149</f>
        <v>64</v>
      </c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62" t="s">
        <v>101</v>
      </c>
      <c r="B150" s="63" t="s">
        <v>102</v>
      </c>
      <c r="C150" s="122">
        <v>1</v>
      </c>
      <c r="D150" s="93">
        <v>9.3800000000000008</v>
      </c>
      <c r="E150" s="65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62" t="s">
        <v>103</v>
      </c>
      <c r="B151" s="63" t="s">
        <v>95</v>
      </c>
      <c r="C151" s="120">
        <f>C145</f>
        <v>100</v>
      </c>
      <c r="D151" s="121">
        <f>+C150*D150/1000</f>
        <v>9.3800000000000012E-3</v>
      </c>
      <c r="E151" s="65">
        <f>C151*D151</f>
        <v>0.93800000000000017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68" t="s">
        <v>104</v>
      </c>
      <c r="B152" s="109" t="s">
        <v>105</v>
      </c>
      <c r="C152" s="123"/>
      <c r="D152" s="124">
        <f>IFERROR(D145+D147+#REF!+D149+D151,0)</f>
        <v>0</v>
      </c>
      <c r="E152" s="65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103">
        <f>SUM(E144:E151)</f>
        <v>5304.9380000000001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">
      <c r="A154" s="1"/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 t="s">
        <v>106</v>
      </c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54" t="s">
        <v>18</v>
      </c>
      <c r="B156" s="55" t="s">
        <v>19</v>
      </c>
      <c r="C156" s="55" t="s">
        <v>12</v>
      </c>
      <c r="D156" s="56" t="s">
        <v>20</v>
      </c>
      <c r="E156" s="56" t="s">
        <v>21</v>
      </c>
      <c r="F156" s="57" t="s">
        <v>107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25" t="s">
        <v>108</v>
      </c>
      <c r="B157" s="59" t="s">
        <v>109</v>
      </c>
      <c r="C157" s="120">
        <f>C145</f>
        <v>100</v>
      </c>
      <c r="D157" s="79">
        <v>4</v>
      </c>
      <c r="E157" s="61">
        <f>C157*D157</f>
        <v>400</v>
      </c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"/>
      <c r="E158" s="3"/>
      <c r="F158" s="103">
        <f>E157</f>
        <v>400</v>
      </c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 t="s">
        <v>110</v>
      </c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54" t="s">
        <v>18</v>
      </c>
      <c r="B161" s="55" t="s">
        <v>19</v>
      </c>
      <c r="C161" s="55" t="s">
        <v>12</v>
      </c>
      <c r="D161" s="56" t="s">
        <v>20</v>
      </c>
      <c r="E161" s="56" t="s">
        <v>21</v>
      </c>
      <c r="F161" s="57" t="s">
        <v>111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8" t="s">
        <v>112</v>
      </c>
      <c r="B162" s="59" t="s">
        <v>51</v>
      </c>
      <c r="C162" s="126">
        <v>4</v>
      </c>
      <c r="D162" s="60">
        <v>2000</v>
      </c>
      <c r="E162" s="61">
        <f>C162*D162</f>
        <v>8000</v>
      </c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8" t="s">
        <v>113</v>
      </c>
      <c r="B163" s="59" t="s">
        <v>51</v>
      </c>
      <c r="C163" s="126">
        <v>1</v>
      </c>
      <c r="D163" s="61"/>
      <c r="E163" s="61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8" t="s">
        <v>114</v>
      </c>
      <c r="B164" s="59" t="s">
        <v>51</v>
      </c>
      <c r="C164" s="61">
        <f>C162*C163</f>
        <v>4</v>
      </c>
      <c r="D164" s="60">
        <v>900</v>
      </c>
      <c r="E164" s="61">
        <f>C164*D164</f>
        <v>3600</v>
      </c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62" t="s">
        <v>115</v>
      </c>
      <c r="B165" s="63" t="s">
        <v>116</v>
      </c>
      <c r="C165" s="127">
        <v>8000</v>
      </c>
      <c r="D165" s="65">
        <f>E162+E164</f>
        <v>11600</v>
      </c>
      <c r="E165" s="65">
        <f>IFERROR(D165/C165,"-")</f>
        <v>1.45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62" t="s">
        <v>117</v>
      </c>
      <c r="B166" s="63" t="s">
        <v>118</v>
      </c>
      <c r="C166" s="120">
        <f>B141</f>
        <v>100</v>
      </c>
      <c r="D166" s="65">
        <f>E165</f>
        <v>1.45</v>
      </c>
      <c r="E166" s="65">
        <f>IFERROR(C166*D166,0)</f>
        <v>145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3"/>
      <c r="E167" s="3"/>
      <c r="F167" s="103">
        <f>E166</f>
        <v>145</v>
      </c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94" t="s">
        <v>119</v>
      </c>
      <c r="B170" s="95"/>
      <c r="C170" s="95"/>
      <c r="D170" s="96"/>
      <c r="E170" s="97"/>
      <c r="F170" s="103">
        <f>+SUM(F114:F169)</f>
        <v>12643.174770833335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8" t="s">
        <v>120</v>
      </c>
      <c r="B172" s="18"/>
      <c r="C172" s="18"/>
      <c r="D172" s="17"/>
      <c r="E172" s="17"/>
      <c r="F172" s="70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54" t="s">
        <v>18</v>
      </c>
      <c r="B174" s="55" t="s">
        <v>19</v>
      </c>
      <c r="C174" s="55" t="s">
        <v>12</v>
      </c>
      <c r="D174" s="56" t="s">
        <v>20</v>
      </c>
      <c r="E174" s="56" t="s">
        <v>21</v>
      </c>
      <c r="F174" s="57" t="s">
        <v>121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62" t="s">
        <v>122</v>
      </c>
      <c r="B175" s="128" t="s">
        <v>123</v>
      </c>
      <c r="C175" s="49">
        <f>C119</f>
        <v>1</v>
      </c>
      <c r="D175" s="91">
        <v>200</v>
      </c>
      <c r="E175" s="65">
        <f>+D175*C175</f>
        <v>200</v>
      </c>
      <c r="F175" s="105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62" t="s">
        <v>124</v>
      </c>
      <c r="B176" s="128" t="s">
        <v>24</v>
      </c>
      <c r="C176" s="63">
        <v>60</v>
      </c>
      <c r="D176" s="129">
        <f>SUM(E175)</f>
        <v>200</v>
      </c>
      <c r="E176" s="129">
        <f>+D176/C176</f>
        <v>3.3333333333333335</v>
      </c>
      <c r="F176" s="105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62" t="s">
        <v>125</v>
      </c>
      <c r="B177" s="63" t="s">
        <v>51</v>
      </c>
      <c r="C177" s="49">
        <f>+C175</f>
        <v>1</v>
      </c>
      <c r="D177" s="91">
        <v>100</v>
      </c>
      <c r="E177" s="65">
        <f>C177*D177</f>
        <v>100</v>
      </c>
      <c r="F177" s="105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62" t="s">
        <v>126</v>
      </c>
      <c r="B178" s="128" t="s">
        <v>24</v>
      </c>
      <c r="C178" s="63">
        <v>1</v>
      </c>
      <c r="D178" s="129">
        <f>+E177</f>
        <v>100</v>
      </c>
      <c r="E178" s="129">
        <f>+D178/C178</f>
        <v>100</v>
      </c>
      <c r="F178" s="105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30"/>
      <c r="B179" s="130"/>
      <c r="C179" s="130"/>
      <c r="D179" s="75" t="s">
        <v>38</v>
      </c>
      <c r="E179" s="76">
        <f>$B$36</f>
        <v>1</v>
      </c>
      <c r="F179" s="103">
        <f>(E176+E178)*E179</f>
        <v>103.33333333333333</v>
      </c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94" t="s">
        <v>127</v>
      </c>
      <c r="B181" s="95"/>
      <c r="C181" s="95"/>
      <c r="D181" s="96"/>
      <c r="E181" s="97"/>
      <c r="F181" s="103">
        <f>+F179</f>
        <v>103.33333333333333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94" t="s">
        <v>128</v>
      </c>
      <c r="B183" s="100"/>
      <c r="C183" s="100"/>
      <c r="D183" s="101"/>
      <c r="E183" s="102"/>
      <c r="F183" s="88">
        <f>+F90+F106+F170+F181</f>
        <v>16795.812041747715</v>
      </c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8" t="s">
        <v>129</v>
      </c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54" t="s">
        <v>18</v>
      </c>
      <c r="B187" s="55" t="s">
        <v>19</v>
      </c>
      <c r="C187" s="55" t="s">
        <v>12</v>
      </c>
      <c r="D187" s="56" t="s">
        <v>20</v>
      </c>
      <c r="E187" s="56" t="s">
        <v>21</v>
      </c>
      <c r="F187" s="57" t="s">
        <v>130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8" t="s">
        <v>131</v>
      </c>
      <c r="B188" s="59" t="s">
        <v>5</v>
      </c>
      <c r="C188" s="72">
        <f>'4.BDI'!C20*100</f>
        <v>37.51</v>
      </c>
      <c r="D188" s="61">
        <f>+F183</f>
        <v>16795.812041747715</v>
      </c>
      <c r="E188" s="61">
        <f>C188*D188/100</f>
        <v>6300.1090968595681</v>
      </c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103">
        <f>+E188</f>
        <v>6300.1090968595681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94" t="s">
        <v>132</v>
      </c>
      <c r="B191" s="100"/>
      <c r="C191" s="100"/>
      <c r="D191" s="101"/>
      <c r="E191" s="131" t="s">
        <v>133</v>
      </c>
      <c r="F191" s="88">
        <f>F189</f>
        <v>6300.1090968595681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8"/>
      <c r="B192" s="18"/>
      <c r="C192" s="18"/>
      <c r="D192" s="17"/>
      <c r="E192" s="17"/>
      <c r="F192" s="70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94" t="s">
        <v>134</v>
      </c>
      <c r="B194" s="100"/>
      <c r="C194" s="100"/>
      <c r="D194" s="101"/>
      <c r="E194" s="131" t="s">
        <v>135</v>
      </c>
      <c r="F194" s="88">
        <f>F183+F191</f>
        <v>23095.921138607282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32"/>
      <c r="B195" s="132"/>
      <c r="C195" s="132"/>
      <c r="D195" s="133"/>
      <c r="E195" s="133"/>
      <c r="F195" s="13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34" t="s">
        <v>136</v>
      </c>
      <c r="B196" s="135"/>
      <c r="C196" s="136"/>
      <c r="D196" s="137"/>
      <c r="E196" s="137" t="s">
        <v>137</v>
      </c>
      <c r="F196" s="138">
        <f>B141</f>
        <v>100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105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34" t="s">
        <v>138</v>
      </c>
      <c r="B198" s="135"/>
      <c r="C198" s="136"/>
      <c r="D198" s="137"/>
      <c r="E198" s="139" t="s">
        <v>139</v>
      </c>
      <c r="F198" s="140">
        <f>F194/F196</f>
        <v>230.95921138607281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/>
    <row r="400" spans="1:26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 3.1.1. Depreciação    "/>
    <hyperlink ref="A17" location="Google_Sheet_Link_1983329609" display="    3.1.2. Remuneração do Capital    "/>
    <hyperlink ref="A112" location="Google_Sheet_Link_883616420" display="3.1.1. Depreciação"/>
    <hyperlink ref="A122" location="Google_Sheet_Link_1983329609" display="3.1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2.5703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4" width="9.140625" customWidth="1"/>
    <col min="25" max="26" width="14.42578125" customWidth="1"/>
  </cols>
  <sheetData>
    <row r="1" spans="1:23" ht="12.75" customHeight="1" x14ac:dyDescent="0.2">
      <c r="A1" s="18" t="s">
        <v>140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2.75" customHeight="1" x14ac:dyDescent="0.2">
      <c r="A2" s="2" t="s">
        <v>141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x14ac:dyDescent="0.2">
      <c r="A4" s="142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 customHeight="1" x14ac:dyDescent="0.2">
      <c r="A5" s="142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12.75" customHeight="1" x14ac:dyDescent="0.2">
      <c r="A7" s="266" t="s">
        <v>142</v>
      </c>
      <c r="B7" s="267"/>
      <c r="C7" s="268"/>
      <c r="D7" s="143"/>
      <c r="E7" s="143"/>
      <c r="F7" s="143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ht="12.75" customHeight="1" x14ac:dyDescent="0.2">
      <c r="A8" s="144" t="s">
        <v>143</v>
      </c>
      <c r="B8" s="145" t="s">
        <v>144</v>
      </c>
      <c r="C8" s="146" t="s">
        <v>145</v>
      </c>
      <c r="D8" s="147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2.75" customHeight="1" x14ac:dyDescent="0.2">
      <c r="A9" s="144" t="s">
        <v>146</v>
      </c>
      <c r="B9" s="145" t="s">
        <v>147</v>
      </c>
      <c r="C9" s="148">
        <v>0.2</v>
      </c>
      <c r="D9" s="147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12.75" customHeight="1" x14ac:dyDescent="0.2">
      <c r="A10" s="144" t="s">
        <v>148</v>
      </c>
      <c r="B10" s="145" t="s">
        <v>149</v>
      </c>
      <c r="C10" s="148">
        <v>1.4999999999999999E-2</v>
      </c>
      <c r="D10" s="147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2.75" customHeight="1" x14ac:dyDescent="0.2">
      <c r="A11" s="144" t="s">
        <v>150</v>
      </c>
      <c r="B11" s="145" t="s">
        <v>151</v>
      </c>
      <c r="C11" s="148">
        <v>0.01</v>
      </c>
      <c r="D11" s="147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2.75" customHeight="1" x14ac:dyDescent="0.2">
      <c r="A12" s="144" t="s">
        <v>152</v>
      </c>
      <c r="B12" s="145" t="s">
        <v>153</v>
      </c>
      <c r="C12" s="148">
        <v>2E-3</v>
      </c>
      <c r="D12" s="147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2.75" customHeight="1" x14ac:dyDescent="0.2">
      <c r="A13" s="144" t="s">
        <v>154</v>
      </c>
      <c r="B13" s="145" t="s">
        <v>155</v>
      </c>
      <c r="C13" s="148">
        <v>6.0000000000000001E-3</v>
      </c>
      <c r="D13" s="147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2.75" customHeight="1" x14ac:dyDescent="0.2">
      <c r="A14" s="144" t="s">
        <v>156</v>
      </c>
      <c r="B14" s="145" t="s">
        <v>157</v>
      </c>
      <c r="C14" s="148">
        <v>2.5000000000000001E-2</v>
      </c>
      <c r="D14" s="147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2.75" customHeight="1" x14ac:dyDescent="0.2">
      <c r="A15" s="144" t="s">
        <v>158</v>
      </c>
      <c r="B15" s="145" t="s">
        <v>159</v>
      </c>
      <c r="C15" s="148">
        <v>0.03</v>
      </c>
      <c r="D15" s="147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2.75" customHeight="1" x14ac:dyDescent="0.2">
      <c r="A16" s="144" t="s">
        <v>160</v>
      </c>
      <c r="B16" s="145" t="s">
        <v>161</v>
      </c>
      <c r="C16" s="148">
        <v>0.08</v>
      </c>
      <c r="D16" s="147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2.75" customHeight="1" x14ac:dyDescent="0.2">
      <c r="A17" s="144" t="s">
        <v>162</v>
      </c>
      <c r="B17" s="149" t="s">
        <v>163</v>
      </c>
      <c r="C17" s="150">
        <f>SUM(C9:C16)</f>
        <v>0.36800000000000005</v>
      </c>
      <c r="D17" s="147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2.75" customHeight="1" x14ac:dyDescent="0.2">
      <c r="A18" s="151"/>
      <c r="B18" s="152"/>
      <c r="C18" s="153"/>
      <c r="D18" s="147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2.75" customHeight="1" x14ac:dyDescent="0.2">
      <c r="A19" s="144" t="s">
        <v>164</v>
      </c>
      <c r="B19" s="154" t="s">
        <v>165</v>
      </c>
      <c r="C19" s="148">
        <f>ROUND(IF('3.CAGED'!C28&gt;24,(1-12/'3.CAGED'!C28)*0.1111,0.1111-C28),4)</f>
        <v>6.1899999999999997E-2</v>
      </c>
      <c r="D19" s="147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2.75" customHeight="1" x14ac:dyDescent="0.2">
      <c r="A20" s="144" t="s">
        <v>166</v>
      </c>
      <c r="B20" s="154" t="s">
        <v>167</v>
      </c>
      <c r="C20" s="148">
        <f>ROUND('3.CAGED'!C32/'3.CAGED'!C29,4)</f>
        <v>8.3299999999999999E-2</v>
      </c>
      <c r="D20" s="147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2.75" customHeight="1" x14ac:dyDescent="0.2">
      <c r="A21" s="144" t="s">
        <v>168</v>
      </c>
      <c r="B21" s="154" t="s">
        <v>169</v>
      </c>
      <c r="C21" s="148">
        <v>5.9999999999999995E-4</v>
      </c>
      <c r="D21" s="147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2.75" customHeight="1" x14ac:dyDescent="0.2">
      <c r="A22" s="144" t="s">
        <v>170</v>
      </c>
      <c r="B22" s="154" t="s">
        <v>171</v>
      </c>
      <c r="C22" s="148">
        <v>8.2000000000000007E-3</v>
      </c>
      <c r="D22" s="147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2.75" customHeight="1" x14ac:dyDescent="0.2">
      <c r="A23" s="144" t="s">
        <v>172</v>
      </c>
      <c r="B23" s="154" t="s">
        <v>173</v>
      </c>
      <c r="C23" s="148">
        <v>3.0999999999999999E-3</v>
      </c>
      <c r="D23" s="147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12.75" customHeight="1" x14ac:dyDescent="0.2">
      <c r="A24" s="144" t="s">
        <v>174</v>
      </c>
      <c r="B24" s="154" t="s">
        <v>175</v>
      </c>
      <c r="C24" s="148">
        <v>1.66E-2</v>
      </c>
      <c r="D24" s="147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2.75" customHeight="1" x14ac:dyDescent="0.2">
      <c r="A25" s="144" t="s">
        <v>176</v>
      </c>
      <c r="B25" s="149" t="s">
        <v>177</v>
      </c>
      <c r="C25" s="150">
        <f>SUM(C19:C24)</f>
        <v>0.17369999999999999</v>
      </c>
      <c r="D25" s="155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12.75" customHeight="1" x14ac:dyDescent="0.2">
      <c r="A26" s="151"/>
      <c r="B26" s="152"/>
      <c r="C26" s="153"/>
      <c r="D26" s="155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2.75" customHeight="1" x14ac:dyDescent="0.2">
      <c r="A27" s="144" t="s">
        <v>178</v>
      </c>
      <c r="B27" s="145" t="s">
        <v>179</v>
      </c>
      <c r="C27" s="148">
        <f>ROUND(('3.CAGED'!C33) *'3.CAGED'!C26/'3.CAGED'!C29,4)</f>
        <v>2.5600000000000001E-2</v>
      </c>
      <c r="D27" s="147"/>
      <c r="E27" s="156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2.75" customHeight="1" x14ac:dyDescent="0.2">
      <c r="A28" s="144" t="s">
        <v>180</v>
      </c>
      <c r="B28" s="145" t="s">
        <v>181</v>
      </c>
      <c r="C28" s="148">
        <f>ROUND(IF('3.CAGED'!C28&gt;12,12/'3.CAGED'!C28*0.1111,0.1111),4)</f>
        <v>4.9200000000000001E-2</v>
      </c>
      <c r="D28" s="147"/>
      <c r="E28" s="141"/>
      <c r="F28" s="141"/>
      <c r="G28" s="141"/>
      <c r="H28" s="157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12.75" customHeight="1" x14ac:dyDescent="0.2">
      <c r="A29" s="144" t="s">
        <v>182</v>
      </c>
      <c r="B29" s="145" t="s">
        <v>183</v>
      </c>
      <c r="C29" s="148">
        <f>C27*C28</f>
        <v>1.2595200000000001E-3</v>
      </c>
      <c r="D29" s="147"/>
      <c r="E29" s="15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ht="12.75" customHeight="1" x14ac:dyDescent="0.2">
      <c r="A30" s="144" t="s">
        <v>184</v>
      </c>
      <c r="B30" s="145" t="s">
        <v>185</v>
      </c>
      <c r="C30" s="148">
        <f>ROUND(('3.CAGED'!C29+'3.CAGED'!C30+'3.CAGED'!C32)/'3.CAGED'!C27*'3.CAGED'!C34*'3.CAGED'!C35*'3.CAGED'!C26/'3.CAGED'!C29,4)</f>
        <v>2.0500000000000001E-2</v>
      </c>
      <c r="D30" s="147"/>
      <c r="E30" s="141"/>
      <c r="F30" s="141"/>
      <c r="G30" s="156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ht="12.75" customHeight="1" x14ac:dyDescent="0.2">
      <c r="A31" s="144" t="s">
        <v>186</v>
      </c>
      <c r="B31" s="145" t="s">
        <v>187</v>
      </c>
      <c r="C31" s="148">
        <f>ROUND(('3.CAGED'!C31/'3.CAGED'!C29)*'3.CAGED'!C26/12,4)</f>
        <v>1.8E-3</v>
      </c>
      <c r="D31" s="147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ht="12.75" customHeight="1" x14ac:dyDescent="0.2">
      <c r="A32" s="144" t="s">
        <v>188</v>
      </c>
      <c r="B32" s="149" t="s">
        <v>189</v>
      </c>
      <c r="C32" s="150">
        <f>SUM(C27:C31)</f>
        <v>9.8359520000000006E-2</v>
      </c>
      <c r="D32" s="155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 ht="12.75" customHeight="1" x14ac:dyDescent="0.2">
      <c r="A33" s="151"/>
      <c r="B33" s="152"/>
      <c r="C33" s="153"/>
      <c r="D33" s="155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ht="12.75" customHeight="1" x14ac:dyDescent="0.2">
      <c r="A34" s="144" t="s">
        <v>190</v>
      </c>
      <c r="B34" s="145" t="s">
        <v>191</v>
      </c>
      <c r="C34" s="148">
        <f>ROUND(C17*C25,4)</f>
        <v>6.3899999999999998E-2</v>
      </c>
      <c r="D34" s="147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 ht="12.75" customHeight="1" x14ac:dyDescent="0.2">
      <c r="A35" s="144" t="s">
        <v>192</v>
      </c>
      <c r="B35" s="158" t="s">
        <v>193</v>
      </c>
      <c r="C35" s="148">
        <f>ROUND((C27*C16),4)</f>
        <v>2E-3</v>
      </c>
      <c r="D35" s="147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3" ht="12.75" customHeight="1" x14ac:dyDescent="0.2">
      <c r="A36" s="144" t="s">
        <v>194</v>
      </c>
      <c r="B36" s="149" t="s">
        <v>195</v>
      </c>
      <c r="C36" s="150">
        <f>SUM(C34:C35)</f>
        <v>6.59E-2</v>
      </c>
      <c r="D36" s="155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 ht="12.75" customHeight="1" x14ac:dyDescent="0.2">
      <c r="A37" s="159"/>
      <c r="B37" s="160" t="s">
        <v>196</v>
      </c>
      <c r="C37" s="161">
        <f>C36+C32+C25+C17</f>
        <v>0.70595951999999995</v>
      </c>
      <c r="D37" s="155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23" ht="12.75" customHeight="1" x14ac:dyDescent="0.2">
      <c r="A38" s="147"/>
      <c r="B38" s="162"/>
      <c r="C38" s="163"/>
      <c r="D38" s="16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 ht="12.75" customHeight="1" x14ac:dyDescent="0.2">
      <c r="A39" s="147"/>
      <c r="B39" s="147"/>
      <c r="C39" s="165"/>
      <c r="D39" s="16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 ht="12.75" customHeight="1" x14ac:dyDescent="0.2">
      <c r="A40" s="147"/>
      <c r="B40" s="147"/>
      <c r="C40" s="165"/>
      <c r="D40" s="147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1:23" ht="12.75" customHeight="1" x14ac:dyDescent="0.2">
      <c r="A41" s="147"/>
      <c r="B41" s="147"/>
      <c r="C41" s="165"/>
      <c r="D41" s="147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1:23" ht="12.75" customHeight="1" x14ac:dyDescent="0.2">
      <c r="A42" s="147"/>
      <c r="B42" s="147"/>
      <c r="C42" s="165"/>
      <c r="D42" s="147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1:23" ht="12.75" customHeight="1" x14ac:dyDescent="0.2">
      <c r="A43" s="147"/>
      <c r="B43" s="162"/>
      <c r="C43" s="163"/>
      <c r="D43" s="147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1:23" ht="12.75" customHeight="1" x14ac:dyDescent="0.2">
      <c r="A44" s="155"/>
      <c r="B44" s="162"/>
      <c r="C44" s="163"/>
      <c r="D44" s="155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1:23" ht="12.75" customHeight="1" x14ac:dyDescent="0.2">
      <c r="A45" s="167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 ht="12.75" customHeight="1" x14ac:dyDescent="0.2">
      <c r="A46" s="168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</row>
    <row r="47" spans="1:23" ht="12.75" customHeight="1" x14ac:dyDescent="0.2">
      <c r="A47" s="147"/>
      <c r="B47" s="16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1:23" ht="12.75" customHeight="1" x14ac:dyDescent="0.2">
      <c r="A48" s="147"/>
      <c r="B48" s="169"/>
      <c r="C48" s="147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 ht="12.75" customHeight="1" x14ac:dyDescent="0.2">
      <c r="A49" s="147"/>
      <c r="B49" s="165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23" ht="12.75" customHeight="1" x14ac:dyDescent="0.2">
      <c r="A50" s="147"/>
      <c r="B50" s="169"/>
      <c r="C50" s="147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1:23" ht="12.75" customHeight="1" x14ac:dyDescent="0.2">
      <c r="A51" s="147"/>
      <c r="B51" s="165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1:23" ht="12.75" customHeight="1" x14ac:dyDescent="0.2">
      <c r="A52" s="147"/>
      <c r="B52" s="169"/>
      <c r="C52" s="147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1:23" ht="12.75" customHeight="1" x14ac:dyDescent="0.2">
      <c r="A53" s="147"/>
      <c r="B53" s="165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1:23" ht="12.75" customHeight="1" x14ac:dyDescent="0.2">
      <c r="A54" s="147"/>
      <c r="B54" s="169"/>
      <c r="C54" s="147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1:23" ht="12.75" customHeight="1" x14ac:dyDescent="0.2">
      <c r="A55" s="147"/>
      <c r="B55" s="165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ht="12.75" customHeight="1" x14ac:dyDescent="0.2">
      <c r="A56" s="167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12.75" customHeight="1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ht="12.75" customHeight="1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</row>
    <row r="59" spans="1:23" ht="12.75" customHeight="1" x14ac:dyDescent="0.2">
      <c r="A59" s="104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1:23" ht="12.7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ht="12.7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ht="12.75" customHeight="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12.7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</row>
    <row r="64" spans="1:23" ht="12.75" customHeight="1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</row>
    <row r="65" spans="1:23" ht="12.7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1:23" ht="12.75" customHeight="1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1:23" ht="12.7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1:23" ht="12.75" customHeight="1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23" ht="12.7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</row>
    <row r="70" spans="1:23" ht="12.75" customHeight="1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1:23" ht="12.7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ht="12.75" customHeight="1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1:23" ht="12.7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1:23" ht="12.75" customHeight="1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2.75" customHeight="1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 ht="12.7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1:23" ht="12.75" customHeight="1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ht="12.7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1:23" ht="12.75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 ht="12.75" customHeight="1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4" ht="12.75" customHeight="1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4" ht="12.75" customHeight="1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4" ht="12.75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4" ht="12.75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4" ht="12.75" customHeight="1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4" ht="12.75" customHeight="1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4" ht="12.75" customHeight="1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4" ht="12.75" customHeight="1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4" ht="12.75" customHeight="1" x14ac:dyDescent="0.2">
      <c r="A89" s="141" t="s">
        <v>197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4" ht="12.75" customHeight="1" x14ac:dyDescent="0.2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</row>
    <row r="91" spans="1:24" ht="12.75" customHeight="1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</row>
    <row r="92" spans="1:24" ht="12.75" customHeight="1" x14ac:dyDescent="0.2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</row>
    <row r="93" spans="1:24" ht="12.75" customHeight="1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</row>
    <row r="94" spans="1:24" ht="12.75" customHeight="1" x14ac:dyDescent="0.2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</row>
    <row r="95" spans="1:24" ht="12.75" customHeight="1" x14ac:dyDescent="0.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</row>
    <row r="96" spans="1:24" ht="12.75" customHeight="1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</row>
    <row r="97" spans="1:24" ht="12.75" customHeight="1" x14ac:dyDescent="0.2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</row>
    <row r="98" spans="1:24" ht="12.75" customHeight="1" x14ac:dyDescent="0.2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</row>
    <row r="99" spans="1:24" ht="12.75" customHeight="1" x14ac:dyDescent="0.2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</row>
    <row r="100" spans="1:24" ht="12.75" customHeight="1" x14ac:dyDescent="0.2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</row>
    <row r="101" spans="1:24" ht="12.75" customHeight="1" x14ac:dyDescent="0.2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</row>
    <row r="102" spans="1:24" ht="12.75" customHeight="1" x14ac:dyDescent="0.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</row>
    <row r="103" spans="1:24" ht="12.75" customHeight="1" x14ac:dyDescent="0.2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</row>
    <row r="104" spans="1:24" ht="12.75" customHeight="1" x14ac:dyDescent="0.2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</row>
    <row r="105" spans="1:24" ht="12.75" customHeight="1" x14ac:dyDescent="0.2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</row>
    <row r="106" spans="1:24" ht="12.75" customHeight="1" x14ac:dyDescent="0.2">
      <c r="A106" s="141"/>
      <c r="B106" s="141"/>
      <c r="C106" s="141"/>
      <c r="D106" s="141">
        <v>11.7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</row>
    <row r="107" spans="1:24" ht="12.75" customHeight="1" x14ac:dyDescent="0.2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</row>
    <row r="108" spans="1:24" ht="12.75" customHeight="1" x14ac:dyDescent="0.2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</row>
    <row r="109" spans="1:24" ht="12.75" customHeight="1" x14ac:dyDescent="0.2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</row>
    <row r="110" spans="1:24" ht="12.75" customHeight="1" x14ac:dyDescent="0.2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</row>
    <row r="111" spans="1:24" ht="12.75" customHeight="1" x14ac:dyDescent="0.2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</row>
    <row r="112" spans="1:24" ht="12.75" customHeight="1" x14ac:dyDescent="0.2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</row>
    <row r="113" spans="1:24" ht="12.75" customHeight="1" x14ac:dyDescent="0.2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</row>
    <row r="114" spans="1:24" ht="12.75" customHeigh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</row>
    <row r="115" spans="1:24" ht="12.75" customHeight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</row>
    <row r="116" spans="1:24" ht="12.75" customHeight="1" x14ac:dyDescent="0.2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</row>
    <row r="117" spans="1:24" ht="12.75" customHeight="1" x14ac:dyDescent="0.2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</row>
    <row r="118" spans="1:24" ht="12.75" customHeight="1" x14ac:dyDescent="0.2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</row>
    <row r="119" spans="1:24" ht="12.75" customHeight="1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</row>
    <row r="120" spans="1:24" ht="12.75" customHeight="1" x14ac:dyDescent="0.2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</row>
    <row r="121" spans="1:24" ht="12.75" customHeight="1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</row>
    <row r="122" spans="1:24" ht="12.75" customHeight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</row>
    <row r="123" spans="1:24" ht="12.75" customHeight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</row>
    <row r="124" spans="1:24" ht="12.75" customHeigh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</row>
    <row r="125" spans="1:24" ht="12.75" customHeight="1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</row>
    <row r="126" spans="1:24" ht="12.75" customHeight="1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</row>
    <row r="127" spans="1:24" ht="12.75" customHeight="1" x14ac:dyDescent="0.2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</row>
    <row r="128" spans="1:24" ht="12.75" customHeight="1" x14ac:dyDescent="0.2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</row>
    <row r="129" spans="1:24" ht="12.75" customHeight="1" x14ac:dyDescent="0.2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</row>
    <row r="130" spans="1:24" ht="12.75" customHeight="1" x14ac:dyDescent="0.2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</row>
    <row r="131" spans="1:24" ht="12.75" customHeight="1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</row>
    <row r="132" spans="1:24" ht="12.75" customHeight="1" x14ac:dyDescent="0.2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</row>
    <row r="133" spans="1:24" ht="12.75" customHeight="1" x14ac:dyDescent="0.2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</row>
    <row r="134" spans="1:24" ht="12.75" customHeight="1" x14ac:dyDescent="0.2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</row>
    <row r="135" spans="1:24" ht="12.75" customHeight="1" x14ac:dyDescent="0.2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</row>
    <row r="136" spans="1:24" ht="12.75" customHeight="1" x14ac:dyDescent="0.2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</row>
    <row r="137" spans="1:24" ht="12.75" customHeight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</row>
    <row r="138" spans="1:24" ht="12.75" customHeight="1" x14ac:dyDescent="0.2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</row>
    <row r="139" spans="1:24" ht="12.75" customHeight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</row>
    <row r="140" spans="1:24" ht="12.75" customHeight="1" x14ac:dyDescent="0.2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</row>
    <row r="141" spans="1:24" ht="12.75" customHeight="1" x14ac:dyDescent="0.2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</row>
    <row r="142" spans="1:24" ht="12.75" customHeight="1" x14ac:dyDescent="0.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</row>
    <row r="143" spans="1:24" ht="12.75" customHeight="1" x14ac:dyDescent="0.2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</row>
    <row r="144" spans="1:24" ht="12.75" customHeight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</row>
    <row r="145" spans="1:24" ht="12.75" customHeight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</row>
    <row r="146" spans="1:24" ht="12.75" customHeigh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</row>
    <row r="147" spans="1:24" ht="12.75" customHeigh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</row>
    <row r="148" spans="1:24" ht="12.75" customHeight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</row>
    <row r="149" spans="1:24" ht="12.75" customHeight="1" x14ac:dyDescent="0.2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</row>
    <row r="150" spans="1:24" ht="12.75" customHeigh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</row>
    <row r="151" spans="1:24" ht="12.75" customHeight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</row>
    <row r="152" spans="1:24" ht="12.75" customHeigh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</row>
    <row r="153" spans="1:24" ht="12.75" customHeight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</row>
    <row r="154" spans="1:24" ht="12.75" customHeight="1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</row>
    <row r="155" spans="1:24" ht="12.75" customHeight="1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</row>
    <row r="156" spans="1:24" ht="12.75" customHeight="1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</row>
    <row r="157" spans="1:24" ht="12.75" customHeight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</row>
    <row r="158" spans="1:24" ht="12.75" customHeight="1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</row>
    <row r="159" spans="1:24" ht="12.75" customHeight="1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</row>
    <row r="160" spans="1:24" ht="12.75" customHeight="1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</row>
    <row r="161" spans="1:24" ht="12.75" customHeight="1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</row>
    <row r="162" spans="1:24" ht="12.75" customHeight="1" x14ac:dyDescent="0.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</row>
    <row r="163" spans="1:24" ht="12.75" customHeight="1" x14ac:dyDescent="0.2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</row>
    <row r="164" spans="1:24" ht="12.75" customHeight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</row>
    <row r="165" spans="1:24" ht="12.75" customHeight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</row>
    <row r="166" spans="1:24" ht="12.75" customHeight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</row>
    <row r="167" spans="1:24" ht="12.75" customHeight="1" x14ac:dyDescent="0.2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</row>
    <row r="168" spans="1:24" ht="12.75" customHeight="1" x14ac:dyDescent="0.2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</row>
    <row r="169" spans="1:24" ht="12.75" customHeight="1" x14ac:dyDescent="0.2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</row>
    <row r="170" spans="1:24" ht="12.75" customHeight="1" x14ac:dyDescent="0.2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</row>
    <row r="171" spans="1:24" ht="12.75" customHeight="1" x14ac:dyDescent="0.2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</row>
    <row r="172" spans="1:24" ht="12.75" customHeight="1" x14ac:dyDescent="0.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</row>
    <row r="173" spans="1:24" ht="12.75" customHeight="1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</row>
    <row r="174" spans="1:24" ht="12.75" customHeigh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</row>
    <row r="175" spans="1:24" ht="12.75" customHeight="1" x14ac:dyDescent="0.2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</row>
    <row r="176" spans="1:24" ht="12.75" customHeight="1" x14ac:dyDescent="0.2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</row>
    <row r="177" spans="1:24" ht="12.75" customHeight="1" x14ac:dyDescent="0.2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</row>
    <row r="178" spans="1:24" ht="12.75" customHeight="1" x14ac:dyDescent="0.2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</row>
    <row r="179" spans="1:24" ht="12.75" customHeight="1" x14ac:dyDescent="0.2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</row>
    <row r="180" spans="1:24" ht="12.75" customHeight="1" x14ac:dyDescent="0.2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</row>
    <row r="181" spans="1:24" ht="12.75" customHeight="1" x14ac:dyDescent="0.2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</row>
    <row r="182" spans="1:24" ht="12.75" customHeight="1" x14ac:dyDescent="0.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</row>
    <row r="183" spans="1:24" ht="12.75" customHeight="1" x14ac:dyDescent="0.2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</row>
    <row r="184" spans="1:24" ht="12.75" customHeight="1" x14ac:dyDescent="0.2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</row>
    <row r="185" spans="1:24" ht="12.75" customHeight="1" x14ac:dyDescent="0.2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</row>
    <row r="186" spans="1:24" ht="12.75" customHeight="1" x14ac:dyDescent="0.2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</row>
    <row r="187" spans="1:24" ht="12.75" customHeight="1" x14ac:dyDescent="0.2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</row>
    <row r="188" spans="1:24" ht="12.75" customHeight="1" x14ac:dyDescent="0.2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</row>
    <row r="189" spans="1:24" ht="12.75" customHeight="1" x14ac:dyDescent="0.2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</row>
    <row r="190" spans="1:24" ht="12.75" customHeight="1" x14ac:dyDescent="0.2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</row>
    <row r="191" spans="1:24" ht="12.75" customHeight="1" x14ac:dyDescent="0.2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</row>
    <row r="192" spans="1:24" ht="12.75" customHeight="1" x14ac:dyDescent="0.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</row>
    <row r="193" spans="1:24" ht="12.75" customHeight="1" x14ac:dyDescent="0.2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</row>
    <row r="194" spans="1:24" ht="12.75" customHeight="1" x14ac:dyDescent="0.2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</row>
    <row r="195" spans="1:24" ht="12.75" customHeight="1" x14ac:dyDescent="0.2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</row>
    <row r="196" spans="1:24" ht="12.75" customHeight="1" x14ac:dyDescent="0.2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</row>
    <row r="197" spans="1:24" ht="12.75" customHeight="1" x14ac:dyDescent="0.2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</row>
    <row r="198" spans="1:24" ht="12.75" customHeight="1" x14ac:dyDescent="0.2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</row>
    <row r="199" spans="1:24" ht="12.75" customHeight="1" x14ac:dyDescent="0.2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</row>
    <row r="200" spans="1:24" ht="12.75" customHeight="1" x14ac:dyDescent="0.2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</row>
    <row r="201" spans="1:24" ht="12.75" customHeight="1" x14ac:dyDescent="0.2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</row>
    <row r="202" spans="1:24" ht="12.75" customHeight="1" x14ac:dyDescent="0.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</row>
    <row r="203" spans="1:24" ht="12.75" customHeight="1" x14ac:dyDescent="0.2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</row>
    <row r="204" spans="1:24" ht="12.75" customHeight="1" x14ac:dyDescent="0.2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</row>
    <row r="205" spans="1:24" ht="12.75" customHeight="1" x14ac:dyDescent="0.2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</row>
    <row r="206" spans="1:24" ht="12.75" customHeight="1" x14ac:dyDescent="0.2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</row>
    <row r="207" spans="1:24" ht="12.75" customHeight="1" x14ac:dyDescent="0.2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</row>
    <row r="208" spans="1:24" ht="12.75" customHeight="1" x14ac:dyDescent="0.2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</row>
    <row r="209" spans="1:24" ht="12.75" customHeight="1" x14ac:dyDescent="0.2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</row>
    <row r="210" spans="1:24" ht="12.75" customHeight="1" x14ac:dyDescent="0.2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</row>
    <row r="211" spans="1:24" ht="12.75" customHeight="1" x14ac:dyDescent="0.2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</row>
    <row r="212" spans="1:24" ht="12.75" customHeight="1" x14ac:dyDescent="0.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</row>
    <row r="213" spans="1:24" ht="12.75" customHeight="1" x14ac:dyDescent="0.2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</row>
    <row r="214" spans="1:24" ht="12.75" customHeight="1" x14ac:dyDescent="0.2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</row>
    <row r="215" spans="1:24" ht="12.75" customHeight="1" x14ac:dyDescent="0.2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</row>
    <row r="216" spans="1:24" ht="12.75" customHeight="1" x14ac:dyDescent="0.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</row>
    <row r="217" spans="1:24" ht="12.75" customHeight="1" x14ac:dyDescent="0.2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</row>
    <row r="218" spans="1:24" ht="12.75" customHeight="1" x14ac:dyDescent="0.2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</row>
    <row r="219" spans="1:24" ht="12.75" customHeight="1" x14ac:dyDescent="0.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</row>
    <row r="220" spans="1:24" ht="12.75" customHeight="1" x14ac:dyDescent="0.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</row>
    <row r="221" spans="1:24" ht="12.75" customHeight="1" x14ac:dyDescent="0.2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</row>
    <row r="222" spans="1:24" ht="12.75" customHeight="1" x14ac:dyDescent="0.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</row>
    <row r="223" spans="1:24" ht="12.75" customHeight="1" x14ac:dyDescent="0.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</row>
    <row r="224" spans="1:24" ht="12.75" customHeight="1" x14ac:dyDescent="0.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</row>
    <row r="225" spans="1:24" ht="12.75" customHeight="1" x14ac:dyDescent="0.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</row>
    <row r="226" spans="1:24" ht="12.75" customHeight="1" x14ac:dyDescent="0.2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</row>
    <row r="227" spans="1:24" ht="12.75" customHeight="1" x14ac:dyDescent="0.2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</row>
    <row r="228" spans="1:24" ht="12.75" customHeight="1" x14ac:dyDescent="0.2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</row>
    <row r="229" spans="1:24" ht="12.75" customHeight="1" x14ac:dyDescent="0.2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</row>
    <row r="230" spans="1:24" ht="12.75" customHeight="1" x14ac:dyDescent="0.2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</row>
    <row r="231" spans="1:24" ht="12.75" customHeight="1" x14ac:dyDescent="0.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</row>
    <row r="232" spans="1:24" ht="12.75" customHeight="1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</row>
    <row r="233" spans="1:24" ht="12.75" customHeight="1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</row>
    <row r="234" spans="1:24" ht="12.75" customHeight="1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</row>
    <row r="235" spans="1:24" ht="12.75" customHeight="1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</row>
    <row r="236" spans="1:24" ht="12.75" customHeight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</row>
    <row r="237" spans="1:24" ht="12.75" customHeight="1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</row>
    <row r="238" spans="1:24" ht="12.75" customHeight="1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</row>
    <row r="239" spans="1:24" ht="12.75" customHeight="1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</row>
    <row r="240" spans="1:24" ht="12.75" customHeight="1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</row>
    <row r="241" spans="1:24" ht="12.75" customHeight="1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</row>
    <row r="242" spans="1:24" ht="12.75" customHeight="1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</row>
    <row r="243" spans="1:24" ht="12.75" customHeight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</row>
    <row r="244" spans="1:24" ht="12.75" customHeight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</row>
    <row r="245" spans="1:24" ht="12.75" customHeight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</row>
    <row r="246" spans="1:24" ht="12.75" customHeight="1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</row>
    <row r="247" spans="1:24" ht="12.75" customHeight="1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</row>
    <row r="248" spans="1:24" ht="12.75" customHeight="1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</row>
    <row r="249" spans="1:24" ht="12.75" customHeight="1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</row>
    <row r="250" spans="1:24" ht="12.75" customHeight="1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</row>
    <row r="251" spans="1:24" ht="12.75" customHeight="1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</row>
    <row r="252" spans="1:24" ht="12.75" customHeight="1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</row>
    <row r="253" spans="1:24" ht="12.75" customHeight="1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</row>
    <row r="254" spans="1:24" ht="12.75" customHeight="1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</row>
    <row r="255" spans="1:24" ht="12.75" customHeight="1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</row>
    <row r="256" spans="1:24" ht="12.75" customHeight="1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</row>
    <row r="257" spans="1:24" ht="12.75" customHeight="1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</row>
    <row r="258" spans="1:24" ht="12.75" customHeight="1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</row>
    <row r="259" spans="1:24" ht="12.75" customHeight="1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</row>
    <row r="260" spans="1:24" ht="12.75" customHeight="1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</row>
    <row r="261" spans="1:24" ht="12.75" customHeight="1" x14ac:dyDescent="0.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</row>
    <row r="262" spans="1:24" ht="12.75" customHeight="1" x14ac:dyDescent="0.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</row>
    <row r="263" spans="1:24" ht="12.75" customHeight="1" x14ac:dyDescent="0.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</row>
    <row r="264" spans="1:24" ht="12.75" customHeight="1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</row>
    <row r="265" spans="1:24" ht="12.75" customHeight="1" x14ac:dyDescent="0.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</row>
    <row r="266" spans="1:24" ht="12.75" customHeight="1" x14ac:dyDescent="0.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</row>
    <row r="267" spans="1:24" ht="12.75" customHeight="1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</row>
    <row r="268" spans="1:24" ht="12.75" customHeight="1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</row>
    <row r="269" spans="1:24" ht="12.75" customHeight="1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</row>
    <row r="270" spans="1:24" ht="12.75" customHeight="1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</row>
    <row r="271" spans="1:24" ht="12.75" customHeight="1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</row>
    <row r="272" spans="1:24" ht="12.75" customHeight="1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</row>
    <row r="273" spans="1:24" ht="12.75" customHeight="1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</row>
    <row r="274" spans="1:24" ht="12.75" customHeight="1" x14ac:dyDescent="0.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</row>
    <row r="275" spans="1:24" ht="12.75" customHeight="1" x14ac:dyDescent="0.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</row>
    <row r="276" spans="1:24" ht="12.75" customHeight="1" x14ac:dyDescent="0.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</row>
    <row r="277" spans="1:24" ht="12.75" customHeight="1" x14ac:dyDescent="0.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</row>
    <row r="278" spans="1:24" ht="12.75" customHeight="1" x14ac:dyDescent="0.2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</row>
    <row r="279" spans="1:24" ht="12.75" customHeight="1" x14ac:dyDescent="0.2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</row>
    <row r="280" spans="1:24" ht="12.75" customHeight="1" x14ac:dyDescent="0.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</row>
    <row r="281" spans="1:24" ht="12.75" customHeight="1" x14ac:dyDescent="0.2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</row>
    <row r="282" spans="1:24" ht="12.75" customHeight="1" x14ac:dyDescent="0.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</row>
    <row r="283" spans="1:24" ht="12.75" customHeight="1" x14ac:dyDescent="0.2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</row>
    <row r="284" spans="1:24" ht="12.75" customHeight="1" x14ac:dyDescent="0.2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</row>
    <row r="285" spans="1:24" ht="12.75" customHeight="1" x14ac:dyDescent="0.2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</row>
    <row r="286" spans="1:24" ht="12.75" customHeight="1" x14ac:dyDescent="0.2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</row>
    <row r="287" spans="1:24" ht="12.75" customHeight="1" x14ac:dyDescent="0.2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</row>
    <row r="288" spans="1:24" ht="12.75" customHeight="1" x14ac:dyDescent="0.2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</row>
    <row r="289" spans="1:24" ht="12.75" customHeight="1" x14ac:dyDescent="0.2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</row>
    <row r="290" spans="1:24" ht="12.75" customHeight="1" x14ac:dyDescent="0.2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</row>
    <row r="291" spans="1:24" ht="12.75" customHeight="1" x14ac:dyDescent="0.2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</row>
    <row r="292" spans="1:24" ht="12.75" customHeight="1" x14ac:dyDescent="0.2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</row>
    <row r="293" spans="1:24" ht="12.75" customHeight="1" x14ac:dyDescent="0.2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</row>
    <row r="294" spans="1:24" ht="12.75" customHeight="1" x14ac:dyDescent="0.2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</row>
    <row r="295" spans="1:24" ht="12.75" customHeight="1" x14ac:dyDescent="0.2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</row>
    <row r="296" spans="1:24" ht="12.75" customHeight="1" x14ac:dyDescent="0.2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</row>
    <row r="297" spans="1:24" ht="12.75" customHeight="1" x14ac:dyDescent="0.2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</row>
    <row r="298" spans="1:24" ht="12.75" customHeight="1" x14ac:dyDescent="0.2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</row>
    <row r="299" spans="1:24" ht="12.75" customHeight="1" x14ac:dyDescent="0.2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</row>
    <row r="300" spans="1:24" ht="12.75" customHeight="1" x14ac:dyDescent="0.2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2.75" customHeight="1" x14ac:dyDescent="0.2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</row>
    <row r="302" spans="1:24" ht="12.75" customHeight="1" x14ac:dyDescent="0.2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</row>
    <row r="303" spans="1:24" ht="12.75" customHeight="1" x14ac:dyDescent="0.2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</row>
    <row r="304" spans="1:24" ht="12.75" customHeight="1" x14ac:dyDescent="0.2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</row>
    <row r="305" spans="1:24" ht="12.75" customHeight="1" x14ac:dyDescent="0.2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</row>
    <row r="306" spans="1:24" ht="12.75" customHeight="1" x14ac:dyDescent="0.2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</row>
    <row r="307" spans="1:24" ht="15.75" customHeight="1" x14ac:dyDescent="0.2"/>
    <row r="308" spans="1:24" ht="15.75" customHeight="1" x14ac:dyDescent="0.2"/>
    <row r="309" spans="1:24" ht="15.75" customHeight="1" x14ac:dyDescent="0.2"/>
    <row r="310" spans="1:24" ht="15.75" customHeight="1" x14ac:dyDescent="0.2"/>
    <row r="311" spans="1:24" ht="15.75" customHeight="1" x14ac:dyDescent="0.2"/>
    <row r="312" spans="1:24" ht="15.75" customHeight="1" x14ac:dyDescent="0.2"/>
    <row r="313" spans="1:24" ht="15.75" customHeight="1" x14ac:dyDescent="0.2"/>
    <row r="314" spans="1:24" ht="15.75" customHeight="1" x14ac:dyDescent="0.2"/>
    <row r="315" spans="1:24" ht="15.75" customHeight="1" x14ac:dyDescent="0.2"/>
    <row r="316" spans="1:24" ht="15.75" customHeight="1" x14ac:dyDescent="0.2"/>
    <row r="317" spans="1:24" ht="15.75" customHeight="1" x14ac:dyDescent="0.2"/>
    <row r="318" spans="1:24" ht="15.75" customHeight="1" x14ac:dyDescent="0.2"/>
    <row r="319" spans="1:24" ht="15.75" customHeight="1" x14ac:dyDescent="0.2"/>
    <row r="320" spans="1:24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3" width="9.140625" customWidth="1"/>
    <col min="24" max="26" width="14.42578125" customWidth="1"/>
  </cols>
  <sheetData>
    <row r="1" spans="1:23" ht="42" customHeight="1" x14ac:dyDescent="0.2">
      <c r="A1" s="269" t="s">
        <v>198</v>
      </c>
      <c r="B1" s="270"/>
      <c r="C1" s="27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2.7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2.75" customHeight="1" x14ac:dyDescent="0.2">
      <c r="A3" s="17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12.7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2.75" customHeight="1" x14ac:dyDescent="0.2">
      <c r="A5" s="17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2.75" customHeight="1" x14ac:dyDescent="0.2">
      <c r="A6" s="141"/>
      <c r="B6" s="141"/>
      <c r="C6" s="141"/>
      <c r="D6" s="141"/>
      <c r="E6" s="17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12.75" customHeight="1" x14ac:dyDescent="0.25">
      <c r="A7" s="141"/>
      <c r="B7" s="271" t="s">
        <v>199</v>
      </c>
      <c r="C7" s="268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ht="12.75" customHeight="1" x14ac:dyDescent="0.25">
      <c r="A8" s="141"/>
      <c r="B8" s="172" t="s">
        <v>200</v>
      </c>
      <c r="C8" s="17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2.75" customHeight="1" x14ac:dyDescent="0.25">
      <c r="A9" s="141"/>
      <c r="B9" s="174" t="s">
        <v>201</v>
      </c>
      <c r="C9" s="175">
        <v>2100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12.75" customHeight="1" x14ac:dyDescent="0.25">
      <c r="A10" s="141"/>
      <c r="B10" s="176" t="s">
        <v>202</v>
      </c>
      <c r="C10" s="175">
        <v>2031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2.75" customHeight="1" x14ac:dyDescent="0.2">
      <c r="A11" s="141"/>
      <c r="B11" s="177" t="s">
        <v>203</v>
      </c>
      <c r="C11" s="178">
        <v>44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2.75" customHeight="1" x14ac:dyDescent="0.2">
      <c r="A12" s="141"/>
      <c r="B12" s="177" t="s">
        <v>204</v>
      </c>
      <c r="C12" s="178">
        <v>1192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2.75" customHeight="1" x14ac:dyDescent="0.2">
      <c r="A13" s="141"/>
      <c r="B13" s="177" t="s">
        <v>205</v>
      </c>
      <c r="C13" s="178">
        <v>372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2.75" customHeight="1" x14ac:dyDescent="0.2">
      <c r="A14" s="141"/>
      <c r="B14" s="177" t="s">
        <v>206</v>
      </c>
      <c r="C14" s="178">
        <v>22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2.75" customHeight="1" x14ac:dyDescent="0.2">
      <c r="A15" s="141"/>
      <c r="B15" s="177" t="s">
        <v>207</v>
      </c>
      <c r="C15" s="178">
        <v>350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2.75" customHeight="1" x14ac:dyDescent="0.2">
      <c r="A16" s="141"/>
      <c r="B16" s="177" t="s">
        <v>208</v>
      </c>
      <c r="C16" s="178">
        <v>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2.75" customHeight="1" x14ac:dyDescent="0.2">
      <c r="A17" s="141"/>
      <c r="B17" s="177" t="s">
        <v>209</v>
      </c>
      <c r="C17" s="178">
        <v>30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2.75" customHeight="1" x14ac:dyDescent="0.2">
      <c r="A18" s="141"/>
      <c r="B18" s="179" t="s">
        <v>210</v>
      </c>
      <c r="C18" s="180">
        <v>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2.75" customHeight="1" x14ac:dyDescent="0.2">
      <c r="A19" s="141"/>
      <c r="B19" s="181" t="s">
        <v>211</v>
      </c>
      <c r="C19" s="180">
        <v>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2.75" customHeight="1" x14ac:dyDescent="0.25">
      <c r="A20" s="141" t="s">
        <v>212</v>
      </c>
      <c r="B20" s="172" t="s">
        <v>213</v>
      </c>
      <c r="C20" s="173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2.75" customHeight="1" x14ac:dyDescent="0.2">
      <c r="A21" s="141"/>
      <c r="B21" s="182" t="s">
        <v>214</v>
      </c>
      <c r="C21" s="183">
        <v>4625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2.75" customHeight="1" x14ac:dyDescent="0.2">
      <c r="A22" s="141"/>
      <c r="B22" s="177" t="s">
        <v>215</v>
      </c>
      <c r="C22" s="178">
        <v>4694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2.75" customHeight="1" x14ac:dyDescent="0.2">
      <c r="A23" s="141"/>
      <c r="B23" s="177" t="s">
        <v>216</v>
      </c>
      <c r="C23" s="184">
        <f>C9-C10</f>
        <v>69</v>
      </c>
      <c r="D23" s="141"/>
      <c r="E23" s="185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12.75" customHeight="1" x14ac:dyDescent="0.2">
      <c r="A24" s="141"/>
      <c r="B24" s="186"/>
      <c r="C24" s="187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2.75" customHeight="1" x14ac:dyDescent="0.25">
      <c r="A25" s="188"/>
      <c r="B25" s="174" t="s">
        <v>217</v>
      </c>
      <c r="C25" s="189">
        <f>MEDIAN(C21,C22)</f>
        <v>4659.5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</row>
    <row r="26" spans="1:23" ht="12.75" customHeight="1" x14ac:dyDescent="0.25">
      <c r="A26" s="141"/>
      <c r="B26" s="176" t="s">
        <v>218</v>
      </c>
      <c r="C26" s="190">
        <f>C12/C25</f>
        <v>0.25582144006867691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2.75" customHeight="1" x14ac:dyDescent="0.25">
      <c r="A27" s="141"/>
      <c r="B27" s="176" t="s">
        <v>219</v>
      </c>
      <c r="C27" s="190">
        <f>MEDIAN(C9,C10)/C25</f>
        <v>0.44328790642772831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2.75" customHeight="1" x14ac:dyDescent="0.25">
      <c r="A28" s="188"/>
      <c r="B28" s="176" t="s">
        <v>220</v>
      </c>
      <c r="C28" s="191">
        <f>12/C27</f>
        <v>27.070442992011618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pans="1:23" ht="12.75" customHeight="1" x14ac:dyDescent="0.25">
      <c r="A29" s="141"/>
      <c r="B29" s="176" t="s">
        <v>221</v>
      </c>
      <c r="C29" s="192">
        <v>360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ht="12.75" customHeight="1" x14ac:dyDescent="0.25">
      <c r="A30" s="141"/>
      <c r="B30" s="176" t="s">
        <v>222</v>
      </c>
      <c r="C30" s="192">
        <v>10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ht="12.75" customHeight="1" x14ac:dyDescent="0.25">
      <c r="A31" s="141"/>
      <c r="B31" s="174" t="s">
        <v>223</v>
      </c>
      <c r="C31" s="189">
        <v>30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ht="12.75" customHeight="1" x14ac:dyDescent="0.25">
      <c r="A32" s="141"/>
      <c r="B32" s="174" t="s">
        <v>224</v>
      </c>
      <c r="C32" s="189">
        <v>30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 ht="12.75" customHeight="1" x14ac:dyDescent="0.25">
      <c r="A33" s="188"/>
      <c r="B33" s="174" t="s">
        <v>225</v>
      </c>
      <c r="C33" s="189">
        <f>30+(3*TRUNC(1/C27))</f>
        <v>36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</row>
    <row r="34" spans="1:23" ht="12.75" customHeight="1" x14ac:dyDescent="0.25">
      <c r="A34" s="188"/>
      <c r="B34" s="176" t="s">
        <v>161</v>
      </c>
      <c r="C34" s="193">
        <v>0.08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pans="1:23" ht="12.75" customHeight="1" x14ac:dyDescent="0.25">
      <c r="A35" s="188"/>
      <c r="B35" s="194" t="s">
        <v>226</v>
      </c>
      <c r="C35" s="195">
        <v>0.4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</row>
    <row r="36" spans="1:23" ht="12.75" customHeight="1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 ht="12.75" customHeight="1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23" ht="12.75" customHeight="1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 ht="12.75" customHeight="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 ht="12.75" customHeight="1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1:23" ht="12.75" customHeight="1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1:23" ht="12.75" customHeight="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1:23" ht="12.75" customHeight="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1:23" ht="12.75" customHeight="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1:23" ht="12.75" customHeight="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 ht="12.75" customHeight="1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</row>
    <row r="47" spans="1:23" ht="12.75" customHeight="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1:23" ht="12.75" customHeight="1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 ht="12.75" customHeight="1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23" ht="12.75" customHeight="1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1:23" ht="12.75" customHeight="1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1:23" ht="12.75" customHeight="1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1:23" ht="12.75" customHeight="1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1:23" ht="12.75" customHeight="1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1:23" ht="12.7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ht="12.75" customHeight="1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12.75" customHeight="1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ht="12.75" customHeight="1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</row>
    <row r="59" spans="1:23" ht="12.75" customHeight="1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1:23" ht="12.7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ht="12.7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ht="12.75" customHeight="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12.7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</row>
    <row r="64" spans="1:23" ht="12.75" customHeight="1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</row>
    <row r="65" spans="1:23" ht="12.7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1:23" ht="12.75" customHeight="1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1:23" ht="12.7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1:23" ht="12.75" customHeight="1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23" ht="12.7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</row>
    <row r="70" spans="1:23" ht="12.75" customHeight="1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1:23" ht="12.7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ht="12.75" customHeight="1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1:23" ht="12.7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1:23" ht="12.75" customHeight="1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2.75" customHeight="1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 ht="12.7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1:23" ht="12.75" customHeight="1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ht="12.7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1:23" ht="12.75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 ht="12.75" customHeight="1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 ht="12.75" customHeight="1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 ht="12.75" customHeight="1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3" ht="12.75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3" ht="12.75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3" ht="12.75" customHeight="1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3" ht="12.75" customHeight="1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 ht="12.75" customHeight="1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 ht="12.75" customHeight="1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3" ht="12.75" customHeight="1" x14ac:dyDescent="0.2">
      <c r="A89" s="141" t="s">
        <v>197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 ht="12.75" customHeight="1" x14ac:dyDescent="0.2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 ht="12.75" customHeight="1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 ht="12.75" customHeight="1" x14ac:dyDescent="0.2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3" ht="12.75" customHeight="1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1:23" ht="12.75" customHeight="1" x14ac:dyDescent="0.2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3" ht="12.75" customHeight="1" x14ac:dyDescent="0.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23" ht="12.75" customHeight="1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23" ht="12.75" customHeight="1" x14ac:dyDescent="0.2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1:23" ht="12.75" customHeight="1" x14ac:dyDescent="0.2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1:23" ht="12.75" customHeight="1" x14ac:dyDescent="0.2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1:23" ht="12.75" customHeight="1" x14ac:dyDescent="0.2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1:23" ht="12.75" customHeight="1" x14ac:dyDescent="0.2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1:23" ht="12.75" customHeight="1" x14ac:dyDescent="0.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1:23" ht="12.75" customHeight="1" x14ac:dyDescent="0.2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1:23" ht="12.75" customHeight="1" x14ac:dyDescent="0.2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1:23" ht="12.75" customHeight="1" x14ac:dyDescent="0.2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1:23" ht="12.75" customHeight="1" x14ac:dyDescent="0.2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1:23" ht="12.75" customHeight="1" x14ac:dyDescent="0.2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1:23" ht="12.75" customHeight="1" x14ac:dyDescent="0.2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1:23" ht="12.75" customHeight="1" x14ac:dyDescent="0.2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1:23" ht="12.75" customHeight="1" x14ac:dyDescent="0.2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1:23" ht="12.75" customHeight="1" x14ac:dyDescent="0.2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1:23" ht="12.75" customHeight="1" x14ac:dyDescent="0.2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1:23" ht="12.75" customHeight="1" x14ac:dyDescent="0.2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1:23" ht="12.75" customHeigh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1:23" ht="12.75" customHeight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1:23" ht="12.75" customHeight="1" x14ac:dyDescent="0.2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1:23" ht="12.75" customHeight="1" x14ac:dyDescent="0.2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1:23" ht="12.75" customHeight="1" x14ac:dyDescent="0.2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1:23" ht="12.75" customHeight="1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1:23" ht="12.75" customHeight="1" x14ac:dyDescent="0.2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1:23" ht="12.75" customHeight="1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1:23" ht="12.75" customHeight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1:23" ht="12.75" customHeight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1:23" ht="12.75" customHeigh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1:23" ht="12.75" customHeight="1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1:23" ht="12.75" customHeight="1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1:23" ht="12.75" customHeight="1" x14ac:dyDescent="0.2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1:23" ht="12.75" customHeight="1" x14ac:dyDescent="0.2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1:23" ht="12.75" customHeight="1" x14ac:dyDescent="0.2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1:23" ht="12.75" customHeight="1" x14ac:dyDescent="0.2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1:23" ht="12.75" customHeight="1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1:23" ht="12.75" customHeight="1" x14ac:dyDescent="0.2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1:23" ht="12.75" customHeight="1" x14ac:dyDescent="0.2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1:23" ht="12.75" customHeight="1" x14ac:dyDescent="0.2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1:23" ht="12.75" customHeight="1" x14ac:dyDescent="0.2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1:23" ht="12.75" customHeight="1" x14ac:dyDescent="0.2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1:23" ht="12.75" customHeight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1:23" ht="12.75" customHeight="1" x14ac:dyDescent="0.2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1:23" ht="12.75" customHeight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1:23" ht="12.75" customHeight="1" x14ac:dyDescent="0.2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1:23" ht="12.75" customHeight="1" x14ac:dyDescent="0.2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1:23" ht="12.75" customHeight="1" x14ac:dyDescent="0.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1:23" ht="12.75" customHeight="1" x14ac:dyDescent="0.2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1:23" ht="12.75" customHeight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1:23" ht="12.75" customHeight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1:23" ht="12.75" customHeigh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1:23" ht="12.75" customHeigh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1:23" ht="12.75" customHeight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1:23" ht="12.75" customHeight="1" x14ac:dyDescent="0.2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1:23" ht="12.75" customHeigh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1:23" ht="12.75" customHeight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1:23" ht="12.75" customHeigh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1:23" ht="12.75" customHeight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1:23" ht="12.75" customHeight="1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1:23" ht="12.75" customHeight="1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1:23" ht="12.75" customHeight="1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1:23" ht="12.75" customHeight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1:23" ht="12.75" customHeight="1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1:23" ht="12.75" customHeight="1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1:23" ht="12.75" customHeight="1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1:23" ht="12.75" customHeight="1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  <row r="162" spans="1:23" ht="12.75" customHeight="1" x14ac:dyDescent="0.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</row>
    <row r="163" spans="1:23" ht="12.75" customHeight="1" x14ac:dyDescent="0.2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</row>
    <row r="164" spans="1:23" ht="12.75" customHeight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</row>
    <row r="165" spans="1:23" ht="12.75" customHeight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</row>
    <row r="166" spans="1:23" ht="12.75" customHeight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</row>
    <row r="167" spans="1:23" ht="12.75" customHeight="1" x14ac:dyDescent="0.2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</row>
    <row r="168" spans="1:23" ht="12.75" customHeight="1" x14ac:dyDescent="0.2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</row>
    <row r="169" spans="1:23" ht="12.75" customHeight="1" x14ac:dyDescent="0.2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</row>
    <row r="170" spans="1:23" ht="12.75" customHeight="1" x14ac:dyDescent="0.2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</row>
    <row r="171" spans="1:23" ht="12.75" customHeight="1" x14ac:dyDescent="0.2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</row>
    <row r="172" spans="1:23" ht="12.75" customHeight="1" x14ac:dyDescent="0.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</row>
    <row r="173" spans="1:23" ht="12.75" customHeight="1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</row>
    <row r="174" spans="1:23" ht="12.75" customHeigh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</row>
    <row r="175" spans="1:23" ht="12.75" customHeight="1" x14ac:dyDescent="0.2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</row>
    <row r="176" spans="1:23" ht="12.75" customHeight="1" x14ac:dyDescent="0.2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</row>
    <row r="177" spans="1:23" ht="12.75" customHeight="1" x14ac:dyDescent="0.2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</row>
    <row r="178" spans="1:23" ht="12.75" customHeight="1" x14ac:dyDescent="0.2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1:23" ht="12.75" customHeight="1" x14ac:dyDescent="0.2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</row>
    <row r="180" spans="1:23" ht="12.75" customHeight="1" x14ac:dyDescent="0.2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</row>
    <row r="181" spans="1:23" ht="12.75" customHeight="1" x14ac:dyDescent="0.2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</row>
    <row r="182" spans="1:23" ht="12.75" customHeight="1" x14ac:dyDescent="0.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</row>
    <row r="183" spans="1:23" ht="12.75" customHeight="1" x14ac:dyDescent="0.2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</row>
    <row r="184" spans="1:23" ht="12.75" customHeight="1" x14ac:dyDescent="0.2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</row>
    <row r="185" spans="1:23" ht="12.75" customHeight="1" x14ac:dyDescent="0.2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</row>
    <row r="186" spans="1:23" ht="12.75" customHeight="1" x14ac:dyDescent="0.2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</row>
    <row r="187" spans="1:23" ht="12.75" customHeight="1" x14ac:dyDescent="0.2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</row>
    <row r="188" spans="1:23" ht="12.75" customHeight="1" x14ac:dyDescent="0.2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</row>
    <row r="189" spans="1:23" ht="12.75" customHeight="1" x14ac:dyDescent="0.2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</row>
    <row r="190" spans="1:23" ht="12.75" customHeight="1" x14ac:dyDescent="0.2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</row>
    <row r="191" spans="1:23" ht="12.75" customHeight="1" x14ac:dyDescent="0.2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</row>
    <row r="192" spans="1:23" ht="12.75" customHeight="1" x14ac:dyDescent="0.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</row>
    <row r="193" spans="1:23" ht="12.75" customHeight="1" x14ac:dyDescent="0.2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</row>
    <row r="194" spans="1:23" ht="12.75" customHeight="1" x14ac:dyDescent="0.2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</row>
    <row r="195" spans="1:23" ht="12.75" customHeight="1" x14ac:dyDescent="0.2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</row>
    <row r="196" spans="1:23" ht="12.75" customHeight="1" x14ac:dyDescent="0.2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</row>
    <row r="197" spans="1:23" ht="12.75" customHeight="1" x14ac:dyDescent="0.2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</row>
    <row r="198" spans="1:23" ht="12.75" customHeight="1" x14ac:dyDescent="0.2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</row>
    <row r="199" spans="1:23" ht="12.75" customHeight="1" x14ac:dyDescent="0.2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</row>
    <row r="200" spans="1:23" ht="12.75" customHeight="1" x14ac:dyDescent="0.2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</row>
    <row r="201" spans="1:23" ht="12.75" customHeight="1" x14ac:dyDescent="0.2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</row>
    <row r="202" spans="1:23" ht="12.75" customHeight="1" x14ac:dyDescent="0.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</row>
    <row r="203" spans="1:23" ht="12.75" customHeight="1" x14ac:dyDescent="0.2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</row>
    <row r="204" spans="1:23" ht="12.75" customHeight="1" x14ac:dyDescent="0.2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</row>
    <row r="205" spans="1:23" ht="12.75" customHeight="1" x14ac:dyDescent="0.2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</row>
    <row r="206" spans="1:23" ht="12.75" customHeight="1" x14ac:dyDescent="0.2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</row>
    <row r="207" spans="1:23" ht="12.75" customHeight="1" x14ac:dyDescent="0.2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</row>
    <row r="208" spans="1:23" ht="12.75" customHeight="1" x14ac:dyDescent="0.2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</row>
    <row r="209" spans="1:23" ht="12.75" customHeight="1" x14ac:dyDescent="0.2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</row>
    <row r="210" spans="1:23" ht="12.75" customHeight="1" x14ac:dyDescent="0.2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</row>
    <row r="211" spans="1:23" ht="12.75" customHeight="1" x14ac:dyDescent="0.2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</row>
    <row r="212" spans="1:23" ht="12.75" customHeight="1" x14ac:dyDescent="0.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</row>
    <row r="213" spans="1:23" ht="12.75" customHeight="1" x14ac:dyDescent="0.2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</row>
    <row r="214" spans="1:23" ht="12.75" customHeight="1" x14ac:dyDescent="0.2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</row>
    <row r="215" spans="1:23" ht="12.75" customHeight="1" x14ac:dyDescent="0.2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</row>
    <row r="216" spans="1:23" ht="12.75" customHeight="1" x14ac:dyDescent="0.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</row>
    <row r="217" spans="1:23" ht="12.75" customHeight="1" x14ac:dyDescent="0.2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</row>
    <row r="218" spans="1:23" ht="12.75" customHeight="1" x14ac:dyDescent="0.2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</row>
    <row r="219" spans="1:23" ht="12.75" customHeight="1" x14ac:dyDescent="0.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</row>
    <row r="220" spans="1:23" ht="12.75" customHeight="1" x14ac:dyDescent="0.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</row>
    <row r="221" spans="1:23" ht="12.75" customHeight="1" x14ac:dyDescent="0.2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</row>
    <row r="222" spans="1:23" ht="12.75" customHeight="1" x14ac:dyDescent="0.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</row>
    <row r="223" spans="1:23" ht="12.75" customHeight="1" x14ac:dyDescent="0.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</row>
    <row r="224" spans="1:23" ht="12.75" customHeight="1" x14ac:dyDescent="0.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</row>
    <row r="225" spans="1:23" ht="12.75" customHeight="1" x14ac:dyDescent="0.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</row>
    <row r="226" spans="1:23" ht="12.75" customHeight="1" x14ac:dyDescent="0.2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</row>
    <row r="227" spans="1:23" ht="12.75" customHeight="1" x14ac:dyDescent="0.2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</row>
    <row r="228" spans="1:23" ht="12.75" customHeight="1" x14ac:dyDescent="0.2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</row>
    <row r="229" spans="1:23" ht="12.75" customHeight="1" x14ac:dyDescent="0.2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</row>
    <row r="230" spans="1:23" ht="12.75" customHeight="1" x14ac:dyDescent="0.2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</row>
    <row r="231" spans="1:23" ht="12.75" customHeight="1" x14ac:dyDescent="0.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</row>
    <row r="232" spans="1:23" ht="12.75" customHeight="1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</row>
    <row r="233" spans="1:23" ht="12.75" customHeight="1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</row>
    <row r="234" spans="1:23" ht="12.75" customHeight="1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</row>
    <row r="235" spans="1:23" ht="12.75" customHeight="1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</row>
    <row r="236" spans="1:23" ht="12.75" customHeight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</row>
    <row r="237" spans="1:23" ht="12.75" customHeight="1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</row>
    <row r="238" spans="1:23" ht="12.75" customHeight="1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</row>
    <row r="239" spans="1:23" ht="12.75" customHeight="1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</row>
    <row r="240" spans="1:23" ht="12.75" customHeight="1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</row>
    <row r="241" spans="1:23" ht="12.75" customHeight="1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</row>
    <row r="242" spans="1:23" ht="12.75" customHeight="1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</row>
    <row r="243" spans="1:23" ht="12.75" customHeight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</row>
    <row r="244" spans="1:23" ht="12.75" customHeight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</row>
    <row r="245" spans="1:23" ht="12.75" customHeight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</row>
    <row r="246" spans="1:23" ht="12.75" customHeight="1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</row>
    <row r="247" spans="1:23" ht="12.75" customHeight="1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</row>
    <row r="248" spans="1:23" ht="12.75" customHeight="1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</row>
    <row r="249" spans="1:23" ht="12.75" customHeight="1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</row>
    <row r="250" spans="1:23" ht="12.75" customHeight="1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</row>
    <row r="251" spans="1:23" ht="12.75" customHeight="1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</row>
    <row r="252" spans="1:23" ht="12.75" customHeight="1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</row>
    <row r="253" spans="1:23" ht="12.75" customHeight="1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</row>
    <row r="254" spans="1:23" ht="12.75" customHeight="1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</row>
    <row r="255" spans="1:23" ht="12.75" customHeight="1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</row>
    <row r="256" spans="1:23" ht="12.75" customHeight="1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</row>
    <row r="257" spans="1:23" ht="12.75" customHeight="1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</row>
    <row r="258" spans="1:23" ht="12.75" customHeight="1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</row>
    <row r="259" spans="1:23" ht="12.75" customHeight="1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</row>
    <row r="260" spans="1:23" ht="12.75" customHeight="1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</row>
    <row r="261" spans="1:23" ht="12.75" customHeight="1" x14ac:dyDescent="0.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</row>
    <row r="262" spans="1:23" ht="12.75" customHeight="1" x14ac:dyDescent="0.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</row>
    <row r="263" spans="1:23" ht="12.75" customHeight="1" x14ac:dyDescent="0.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</row>
    <row r="264" spans="1:23" ht="12.75" customHeight="1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</row>
    <row r="265" spans="1:23" ht="12.75" customHeight="1" x14ac:dyDescent="0.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</row>
    <row r="266" spans="1:23" ht="12.75" customHeight="1" x14ac:dyDescent="0.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</row>
    <row r="267" spans="1:23" ht="12.75" customHeight="1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</row>
    <row r="268" spans="1:23" ht="12.75" customHeight="1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</row>
    <row r="269" spans="1:23" ht="12.75" customHeight="1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</row>
    <row r="270" spans="1:23" ht="12.75" customHeight="1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</row>
    <row r="271" spans="1:23" ht="12.75" customHeight="1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</row>
    <row r="272" spans="1:23" ht="12.75" customHeight="1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</row>
    <row r="273" spans="1:23" ht="12.75" customHeight="1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</row>
    <row r="274" spans="1:23" ht="12.75" customHeight="1" x14ac:dyDescent="0.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</row>
    <row r="275" spans="1:23" ht="12.75" customHeight="1" x14ac:dyDescent="0.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</row>
    <row r="276" spans="1:23" ht="12.75" customHeight="1" x14ac:dyDescent="0.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</row>
    <row r="277" spans="1:23" ht="12.75" customHeight="1" x14ac:dyDescent="0.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</row>
    <row r="278" spans="1:23" ht="12.75" customHeight="1" x14ac:dyDescent="0.2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</row>
    <row r="279" spans="1:23" ht="12.75" customHeight="1" x14ac:dyDescent="0.2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</row>
    <row r="280" spans="1:23" ht="12.75" customHeight="1" x14ac:dyDescent="0.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</row>
    <row r="281" spans="1:23" ht="12.75" customHeight="1" x14ac:dyDescent="0.2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</row>
    <row r="282" spans="1:23" ht="12.75" customHeight="1" x14ac:dyDescent="0.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</row>
    <row r="283" spans="1:23" ht="12.75" customHeight="1" x14ac:dyDescent="0.2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</row>
    <row r="284" spans="1:23" ht="12.75" customHeight="1" x14ac:dyDescent="0.2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</row>
    <row r="285" spans="1:23" ht="12.75" customHeight="1" x14ac:dyDescent="0.2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</row>
    <row r="286" spans="1:23" ht="12.75" customHeight="1" x14ac:dyDescent="0.2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</row>
    <row r="287" spans="1:23" ht="12.75" customHeight="1" x14ac:dyDescent="0.2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</row>
    <row r="288" spans="1:23" ht="12.75" customHeight="1" x14ac:dyDescent="0.2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</row>
    <row r="289" spans="1:23" ht="12.75" customHeight="1" x14ac:dyDescent="0.2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</row>
    <row r="290" spans="1:23" ht="15.75" customHeight="1" x14ac:dyDescent="0.2"/>
    <row r="291" spans="1:23" ht="15.75" customHeight="1" x14ac:dyDescent="0.2"/>
    <row r="292" spans="1:23" ht="15.75" customHeight="1" x14ac:dyDescent="0.2"/>
    <row r="293" spans="1:23" ht="15.75" customHeight="1" x14ac:dyDescent="0.2"/>
    <row r="294" spans="1:23" ht="15.75" customHeight="1" x14ac:dyDescent="0.2"/>
    <row r="295" spans="1:23" ht="15.75" customHeight="1" x14ac:dyDescent="0.2"/>
    <row r="296" spans="1:23" ht="15.75" customHeight="1" x14ac:dyDescent="0.2"/>
    <row r="297" spans="1:23" ht="15.75" customHeight="1" x14ac:dyDescent="0.2"/>
    <row r="298" spans="1:23" ht="15.75" customHeight="1" x14ac:dyDescent="0.2"/>
    <row r="299" spans="1:23" ht="15.75" customHeight="1" x14ac:dyDescent="0.2"/>
    <row r="300" spans="1:23" ht="15.75" customHeight="1" x14ac:dyDescent="0.2"/>
    <row r="301" spans="1:23" ht="15.75" customHeight="1" x14ac:dyDescent="0.2"/>
    <row r="302" spans="1:23" ht="15.75" customHeight="1" x14ac:dyDescent="0.2"/>
    <row r="303" spans="1:23" ht="15.75" customHeight="1" x14ac:dyDescent="0.2"/>
    <row r="304" spans="1:2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96"/>
      <c r="E1" s="197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2.75" customHeight="1" x14ac:dyDescent="0.2">
      <c r="A2" s="2"/>
      <c r="B2" s="5"/>
      <c r="C2" s="5"/>
      <c r="D2" s="196"/>
      <c r="E2" s="197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12.75" customHeight="1" x14ac:dyDescent="0.2">
      <c r="A3" s="1"/>
      <c r="B3" s="5"/>
      <c r="C3" s="5"/>
      <c r="D3" s="196"/>
      <c r="E3" s="19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12.75" customHeight="1" x14ac:dyDescent="0.2">
      <c r="A4" s="1"/>
      <c r="B4" s="5"/>
      <c r="C4" s="5"/>
      <c r="D4" s="196"/>
      <c r="E4" s="197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15" customHeight="1" x14ac:dyDescent="0.2">
      <c r="A5" s="142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42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96"/>
      <c r="B7" s="5"/>
      <c r="C7" s="5"/>
      <c r="D7" s="196"/>
      <c r="E7" s="197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ht="12.75" customHeight="1" x14ac:dyDescent="0.2">
      <c r="A8" s="272" t="s">
        <v>227</v>
      </c>
      <c r="B8" s="248"/>
      <c r="C8" s="248"/>
      <c r="D8" s="248"/>
      <c r="E8" s="248"/>
      <c r="F8" s="249"/>
    </row>
    <row r="9" spans="1:26" ht="12.75" customHeight="1" x14ac:dyDescent="0.2">
      <c r="A9" s="198"/>
      <c r="B9" s="199"/>
      <c r="C9" s="199"/>
      <c r="D9" s="199"/>
      <c r="E9" s="199"/>
      <c r="F9" s="200"/>
    </row>
    <row r="10" spans="1:26" ht="12.75" customHeight="1" x14ac:dyDescent="0.25">
      <c r="A10" s="201"/>
      <c r="B10" s="5"/>
      <c r="C10" s="5"/>
      <c r="D10" s="273" t="s">
        <v>228</v>
      </c>
      <c r="E10" s="267"/>
      <c r="F10" s="268"/>
      <c r="G10" s="196"/>
      <c r="H10" s="196"/>
    </row>
    <row r="11" spans="1:26" ht="12.75" customHeight="1" x14ac:dyDescent="0.2">
      <c r="A11" s="186"/>
      <c r="B11" s="196"/>
      <c r="C11" s="196"/>
      <c r="D11" s="202" t="s">
        <v>229</v>
      </c>
      <c r="E11" s="203" t="s">
        <v>230</v>
      </c>
      <c r="F11" s="204" t="s">
        <v>231</v>
      </c>
      <c r="G11" s="196"/>
      <c r="H11" s="196"/>
    </row>
    <row r="12" spans="1:26" ht="12.75" customHeight="1" x14ac:dyDescent="0.2">
      <c r="A12" s="205" t="s">
        <v>232</v>
      </c>
      <c r="B12" s="206" t="s">
        <v>233</v>
      </c>
      <c r="C12" s="207">
        <v>5.0799999999999998E-2</v>
      </c>
      <c r="D12" s="208">
        <v>2.9700000000000001E-2</v>
      </c>
      <c r="E12" s="209">
        <v>5.0799999999999998E-2</v>
      </c>
      <c r="F12" s="210">
        <v>6.2700000000000006E-2</v>
      </c>
      <c r="G12" s="196"/>
      <c r="H12" s="196"/>
    </row>
    <row r="13" spans="1:26" ht="12.75" customHeight="1" x14ac:dyDescent="0.2">
      <c r="A13" s="211" t="s">
        <v>234</v>
      </c>
      <c r="B13" s="212" t="s">
        <v>235</v>
      </c>
      <c r="C13" s="213">
        <v>1.3299999999999999E-2</v>
      </c>
      <c r="D13" s="208">
        <f>0.3%+0.56%</f>
        <v>8.6E-3</v>
      </c>
      <c r="E13" s="209">
        <f>0.48%+0.85%</f>
        <v>1.3299999999999999E-2</v>
      </c>
      <c r="F13" s="210">
        <f>0.82%+0.89%</f>
        <v>1.7099999999999997E-2</v>
      </c>
      <c r="G13" s="196"/>
      <c r="H13" s="196"/>
    </row>
    <row r="14" spans="1:26" ht="12.75" customHeight="1" x14ac:dyDescent="0.2">
      <c r="A14" s="211" t="s">
        <v>236</v>
      </c>
      <c r="B14" s="212" t="s">
        <v>237</v>
      </c>
      <c r="C14" s="213">
        <v>0.2</v>
      </c>
      <c r="D14" s="208">
        <v>7.7799999999999994E-2</v>
      </c>
      <c r="E14" s="209">
        <v>0.1085</v>
      </c>
      <c r="F14" s="210">
        <v>0.13550000000000001</v>
      </c>
      <c r="G14" s="196"/>
      <c r="H14" s="196"/>
    </row>
    <row r="15" spans="1:26" ht="12.75" customHeight="1" x14ac:dyDescent="0.2">
      <c r="A15" s="211" t="s">
        <v>238</v>
      </c>
      <c r="B15" s="212" t="s">
        <v>239</v>
      </c>
      <c r="C15" s="214">
        <f>(1+E15)^(E16/252)-1</f>
        <v>5.3042105159797348E-3</v>
      </c>
      <c r="D15" s="208" t="s">
        <v>240</v>
      </c>
      <c r="E15" s="215">
        <v>0.11749999999999999</v>
      </c>
      <c r="F15" s="216"/>
      <c r="G15" s="196"/>
      <c r="H15" s="196"/>
    </row>
    <row r="16" spans="1:26" ht="12.75" customHeight="1" x14ac:dyDescent="0.2">
      <c r="A16" s="211" t="s">
        <v>241</v>
      </c>
      <c r="B16" s="274" t="s">
        <v>242</v>
      </c>
      <c r="C16" s="213">
        <v>0.03</v>
      </c>
      <c r="D16" s="217" t="s">
        <v>243</v>
      </c>
      <c r="E16" s="218">
        <v>12</v>
      </c>
      <c r="F16" s="184"/>
      <c r="G16" s="196"/>
      <c r="H16" s="196"/>
    </row>
    <row r="17" spans="1:8" ht="12.75" customHeight="1" x14ac:dyDescent="0.2">
      <c r="A17" s="219" t="s">
        <v>244</v>
      </c>
      <c r="B17" s="275"/>
      <c r="C17" s="220">
        <v>3.6499999999999998E-2</v>
      </c>
      <c r="D17" s="177"/>
      <c r="E17" s="221"/>
      <c r="F17" s="184"/>
      <c r="G17" s="196"/>
      <c r="H17" s="196"/>
    </row>
    <row r="18" spans="1:8" ht="12.75" customHeight="1" x14ac:dyDescent="0.2">
      <c r="A18" s="222" t="s">
        <v>245</v>
      </c>
      <c r="B18" s="223"/>
      <c r="C18" s="224"/>
      <c r="D18" s="177"/>
      <c r="E18" s="221"/>
      <c r="F18" s="184"/>
      <c r="G18" s="196"/>
      <c r="H18" s="196"/>
    </row>
    <row r="19" spans="1:8" ht="12.75" customHeight="1" x14ac:dyDescent="0.2">
      <c r="A19" s="225" t="s">
        <v>246</v>
      </c>
      <c r="B19" s="226"/>
      <c r="C19" s="227"/>
      <c r="D19" s="177"/>
      <c r="E19" s="221"/>
      <c r="F19" s="184"/>
      <c r="G19" s="196"/>
      <c r="H19" s="196"/>
    </row>
    <row r="20" spans="1:8" ht="12.75" customHeight="1" x14ac:dyDescent="0.2">
      <c r="A20" s="228" t="s">
        <v>247</v>
      </c>
      <c r="B20" s="229"/>
      <c r="C20" s="230">
        <f>ROUND((((1+C12+C13)*(1+C14)*(1+C15))/(1-(C16+C17))-1),4)</f>
        <v>0.37509999999999999</v>
      </c>
      <c r="D20" s="231">
        <v>0.21429999999999999</v>
      </c>
      <c r="E20" s="232">
        <v>0.2717</v>
      </c>
      <c r="F20" s="233">
        <v>0.3362</v>
      </c>
      <c r="G20" s="196"/>
      <c r="H20" s="196"/>
    </row>
    <row r="21" spans="1:8" ht="12.75" customHeight="1" x14ac:dyDescent="0.2">
      <c r="A21" s="196"/>
      <c r="B21" s="196"/>
      <c r="C21" s="196"/>
      <c r="D21" s="196"/>
      <c r="E21" s="197"/>
      <c r="F21" s="196"/>
      <c r="G21" s="196"/>
      <c r="H21" s="196"/>
    </row>
    <row r="22" spans="1:8" ht="12.75" customHeight="1" x14ac:dyDescent="0.2">
      <c r="A22" s="196"/>
      <c r="B22" s="196"/>
      <c r="C22" s="196"/>
      <c r="D22" s="196"/>
      <c r="E22" s="197"/>
      <c r="F22" s="196"/>
      <c r="G22" s="196"/>
      <c r="H22" s="196"/>
    </row>
    <row r="23" spans="1:8" ht="12.75" customHeight="1" x14ac:dyDescent="0.2">
      <c r="A23" s="196"/>
      <c r="B23" s="196"/>
      <c r="C23" s="196"/>
      <c r="D23" s="196"/>
      <c r="E23" s="234"/>
      <c r="F23" s="196"/>
      <c r="G23" s="196"/>
      <c r="H23" s="196"/>
    </row>
    <row r="24" spans="1:8" ht="12.75" customHeight="1" x14ac:dyDescent="0.2">
      <c r="A24" s="196"/>
      <c r="B24" s="196"/>
      <c r="C24" s="196"/>
      <c r="D24" s="196"/>
      <c r="E24" s="197"/>
      <c r="F24" s="196"/>
      <c r="G24" s="196"/>
      <c r="H24" s="196"/>
    </row>
    <row r="25" spans="1:8" ht="12.75" customHeight="1" x14ac:dyDescent="0.2">
      <c r="E25" s="235"/>
    </row>
    <row r="26" spans="1:8" ht="12.75" customHeight="1" x14ac:dyDescent="0.2">
      <c r="E26" s="235"/>
    </row>
    <row r="27" spans="1:8" ht="12.75" customHeight="1" x14ac:dyDescent="0.2">
      <c r="E27" s="235"/>
    </row>
    <row r="28" spans="1:8" ht="12.75" customHeight="1" x14ac:dyDescent="0.2">
      <c r="E28" s="235"/>
    </row>
    <row r="29" spans="1:8" ht="12.75" customHeight="1" x14ac:dyDescent="0.2">
      <c r="E29" s="235"/>
    </row>
    <row r="30" spans="1:8" ht="12.75" customHeight="1" x14ac:dyDescent="0.2">
      <c r="E30" s="235"/>
    </row>
    <row r="31" spans="1:8" ht="12.75" customHeight="1" x14ac:dyDescent="0.2">
      <c r="E31" s="235"/>
    </row>
    <row r="32" spans="1:8" ht="12.75" customHeight="1" x14ac:dyDescent="0.2">
      <c r="E32" s="235"/>
    </row>
    <row r="33" spans="5:5" ht="12.75" customHeight="1" x14ac:dyDescent="0.2">
      <c r="E33" s="235"/>
    </row>
    <row r="34" spans="5:5" ht="12.75" customHeight="1" x14ac:dyDescent="0.2">
      <c r="E34" s="235"/>
    </row>
    <row r="35" spans="5:5" ht="12.75" customHeight="1" x14ac:dyDescent="0.2">
      <c r="E35" s="235"/>
    </row>
    <row r="36" spans="5:5" ht="12.75" customHeight="1" x14ac:dyDescent="0.2">
      <c r="E36" s="235"/>
    </row>
    <row r="37" spans="5:5" ht="12.75" customHeight="1" x14ac:dyDescent="0.2">
      <c r="E37" s="235"/>
    </row>
    <row r="38" spans="5:5" ht="12.75" customHeight="1" x14ac:dyDescent="0.2">
      <c r="E38" s="235"/>
    </row>
    <row r="39" spans="5:5" ht="12.75" customHeight="1" x14ac:dyDescent="0.2">
      <c r="E39" s="235"/>
    </row>
    <row r="40" spans="5:5" ht="12.75" customHeight="1" x14ac:dyDescent="0.2">
      <c r="E40" s="235"/>
    </row>
    <row r="41" spans="5:5" ht="12.75" customHeight="1" x14ac:dyDescent="0.2">
      <c r="E41" s="235"/>
    </row>
    <row r="42" spans="5:5" ht="12.75" customHeight="1" x14ac:dyDescent="0.2">
      <c r="E42" s="235"/>
    </row>
    <row r="43" spans="5:5" ht="12.75" customHeight="1" x14ac:dyDescent="0.2">
      <c r="E43" s="235"/>
    </row>
    <row r="44" spans="5:5" ht="12.75" customHeight="1" x14ac:dyDescent="0.2">
      <c r="E44" s="235"/>
    </row>
    <row r="45" spans="5:5" ht="12.75" customHeight="1" x14ac:dyDescent="0.2">
      <c r="E45" s="235"/>
    </row>
    <row r="46" spans="5:5" ht="12.75" customHeight="1" x14ac:dyDescent="0.2">
      <c r="E46" s="235"/>
    </row>
    <row r="47" spans="5:5" ht="12.75" customHeight="1" x14ac:dyDescent="0.2">
      <c r="E47" s="235"/>
    </row>
    <row r="48" spans="5:5" ht="12.75" customHeight="1" x14ac:dyDescent="0.2">
      <c r="E48" s="235"/>
    </row>
    <row r="49" spans="5:5" ht="12.75" customHeight="1" x14ac:dyDescent="0.2">
      <c r="E49" s="235"/>
    </row>
    <row r="50" spans="5:5" ht="12.75" customHeight="1" x14ac:dyDescent="0.2">
      <c r="E50" s="235"/>
    </row>
    <row r="51" spans="5:5" ht="12.75" customHeight="1" x14ac:dyDescent="0.2">
      <c r="E51" s="235"/>
    </row>
    <row r="52" spans="5:5" ht="12.75" customHeight="1" x14ac:dyDescent="0.2">
      <c r="E52" s="235"/>
    </row>
    <row r="53" spans="5:5" ht="12.75" customHeight="1" x14ac:dyDescent="0.2">
      <c r="E53" s="235"/>
    </row>
    <row r="54" spans="5:5" ht="12.75" customHeight="1" x14ac:dyDescent="0.2">
      <c r="E54" s="235"/>
    </row>
    <row r="55" spans="5:5" ht="12.75" customHeight="1" x14ac:dyDescent="0.2">
      <c r="E55" s="235"/>
    </row>
    <row r="56" spans="5:5" ht="12.75" customHeight="1" x14ac:dyDescent="0.2">
      <c r="E56" s="235"/>
    </row>
    <row r="57" spans="5:5" ht="12.75" customHeight="1" x14ac:dyDescent="0.2">
      <c r="E57" s="235"/>
    </row>
    <row r="58" spans="5:5" ht="12.75" customHeight="1" x14ac:dyDescent="0.2">
      <c r="E58" s="235"/>
    </row>
    <row r="59" spans="5:5" ht="12.75" customHeight="1" x14ac:dyDescent="0.2">
      <c r="E59" s="235"/>
    </row>
    <row r="60" spans="5:5" ht="12.75" customHeight="1" x14ac:dyDescent="0.2">
      <c r="E60" s="235"/>
    </row>
    <row r="61" spans="5:5" ht="12.75" customHeight="1" x14ac:dyDescent="0.2">
      <c r="E61" s="235"/>
    </row>
    <row r="62" spans="5:5" ht="12.75" customHeight="1" x14ac:dyDescent="0.2">
      <c r="E62" s="235"/>
    </row>
    <row r="63" spans="5:5" ht="12.75" customHeight="1" x14ac:dyDescent="0.2">
      <c r="E63" s="235"/>
    </row>
    <row r="64" spans="5:5" ht="12.75" customHeight="1" x14ac:dyDescent="0.2">
      <c r="E64" s="235"/>
    </row>
    <row r="65" spans="5:5" ht="12.75" customHeight="1" x14ac:dyDescent="0.2">
      <c r="E65" s="235"/>
    </row>
    <row r="66" spans="5:5" ht="12.75" customHeight="1" x14ac:dyDescent="0.2">
      <c r="E66" s="235"/>
    </row>
    <row r="67" spans="5:5" ht="12.75" customHeight="1" x14ac:dyDescent="0.2">
      <c r="E67" s="235"/>
    </row>
    <row r="68" spans="5:5" ht="12.75" customHeight="1" x14ac:dyDescent="0.2">
      <c r="E68" s="235"/>
    </row>
    <row r="69" spans="5:5" ht="12.75" customHeight="1" x14ac:dyDescent="0.2">
      <c r="E69" s="235"/>
    </row>
    <row r="70" spans="5:5" ht="12.75" customHeight="1" x14ac:dyDescent="0.2">
      <c r="E70" s="235"/>
    </row>
    <row r="71" spans="5:5" ht="12.75" customHeight="1" x14ac:dyDescent="0.2">
      <c r="E71" s="235"/>
    </row>
    <row r="72" spans="5:5" ht="12.75" customHeight="1" x14ac:dyDescent="0.2">
      <c r="E72" s="235"/>
    </row>
    <row r="73" spans="5:5" ht="12.75" customHeight="1" x14ac:dyDescent="0.2">
      <c r="E73" s="235"/>
    </row>
    <row r="74" spans="5:5" ht="12.75" customHeight="1" x14ac:dyDescent="0.2">
      <c r="E74" s="235"/>
    </row>
    <row r="75" spans="5:5" ht="12.75" customHeight="1" x14ac:dyDescent="0.2">
      <c r="E75" s="235"/>
    </row>
    <row r="76" spans="5:5" ht="12.75" customHeight="1" x14ac:dyDescent="0.2">
      <c r="E76" s="235"/>
    </row>
    <row r="77" spans="5:5" ht="12.75" customHeight="1" x14ac:dyDescent="0.2">
      <c r="E77" s="235"/>
    </row>
    <row r="78" spans="5:5" ht="12.75" customHeight="1" x14ac:dyDescent="0.2">
      <c r="E78" s="235"/>
    </row>
    <row r="79" spans="5:5" ht="12.75" customHeight="1" x14ac:dyDescent="0.2">
      <c r="E79" s="235"/>
    </row>
    <row r="80" spans="5:5" ht="12.75" customHeight="1" x14ac:dyDescent="0.2">
      <c r="E80" s="235"/>
    </row>
    <row r="81" spans="1:5" ht="12.75" customHeight="1" x14ac:dyDescent="0.2">
      <c r="E81" s="235"/>
    </row>
    <row r="82" spans="1:5" ht="12.75" customHeight="1" x14ac:dyDescent="0.2">
      <c r="E82" s="235"/>
    </row>
    <row r="83" spans="1:5" ht="12.75" customHeight="1" x14ac:dyDescent="0.2">
      <c r="E83" s="235"/>
    </row>
    <row r="84" spans="1:5" ht="12.75" customHeight="1" x14ac:dyDescent="0.2">
      <c r="E84" s="235"/>
    </row>
    <row r="85" spans="1:5" ht="12.75" customHeight="1" x14ac:dyDescent="0.2">
      <c r="E85" s="235"/>
    </row>
    <row r="86" spans="1:5" ht="12.75" customHeight="1" x14ac:dyDescent="0.2">
      <c r="E86" s="235"/>
    </row>
    <row r="87" spans="1:5" ht="12.75" customHeight="1" x14ac:dyDescent="0.2">
      <c r="E87" s="235"/>
    </row>
    <row r="88" spans="1:5" ht="12.75" customHeight="1" x14ac:dyDescent="0.2">
      <c r="E88" s="235"/>
    </row>
    <row r="89" spans="1:5" ht="12.75" customHeight="1" x14ac:dyDescent="0.2">
      <c r="A89" s="236" t="s">
        <v>197</v>
      </c>
      <c r="E89" s="235"/>
    </row>
    <row r="90" spans="1:5" ht="12.75" customHeight="1" x14ac:dyDescent="0.2">
      <c r="E90" s="235"/>
    </row>
    <row r="91" spans="1:5" ht="12.75" customHeight="1" x14ac:dyDescent="0.2">
      <c r="E91" s="235"/>
    </row>
    <row r="92" spans="1:5" ht="12.75" customHeight="1" x14ac:dyDescent="0.2">
      <c r="E92" s="235"/>
    </row>
    <row r="93" spans="1:5" ht="12.75" customHeight="1" x14ac:dyDescent="0.2">
      <c r="E93" s="235"/>
    </row>
    <row r="94" spans="1:5" ht="12.75" customHeight="1" x14ac:dyDescent="0.2">
      <c r="E94" s="235"/>
    </row>
    <row r="95" spans="1:5" ht="12.75" customHeight="1" x14ac:dyDescent="0.2">
      <c r="E95" s="235"/>
    </row>
    <row r="96" spans="1:5" ht="12.75" customHeight="1" x14ac:dyDescent="0.2">
      <c r="E96" s="235"/>
    </row>
    <row r="97" spans="4:5" ht="12.75" customHeight="1" x14ac:dyDescent="0.2">
      <c r="E97" s="235"/>
    </row>
    <row r="98" spans="4:5" ht="12.75" customHeight="1" x14ac:dyDescent="0.2">
      <c r="E98" s="235"/>
    </row>
    <row r="99" spans="4:5" ht="12.75" customHeight="1" x14ac:dyDescent="0.2">
      <c r="E99" s="235"/>
    </row>
    <row r="100" spans="4:5" ht="12.75" customHeight="1" x14ac:dyDescent="0.2">
      <c r="E100" s="235"/>
    </row>
    <row r="101" spans="4:5" ht="12.75" customHeight="1" x14ac:dyDescent="0.2">
      <c r="E101" s="235"/>
    </row>
    <row r="102" spans="4:5" ht="12.75" customHeight="1" x14ac:dyDescent="0.2">
      <c r="E102" s="235"/>
    </row>
    <row r="103" spans="4:5" ht="12.75" customHeight="1" x14ac:dyDescent="0.2">
      <c r="E103" s="235"/>
    </row>
    <row r="104" spans="4:5" ht="12.75" customHeight="1" x14ac:dyDescent="0.2">
      <c r="E104" s="235"/>
    </row>
    <row r="105" spans="4:5" ht="12.75" customHeight="1" x14ac:dyDescent="0.2">
      <c r="E105" s="235"/>
    </row>
    <row r="106" spans="4:5" ht="12.75" customHeight="1" x14ac:dyDescent="0.2">
      <c r="D106" s="236">
        <v>11.7</v>
      </c>
      <c r="E106" s="235"/>
    </row>
    <row r="107" spans="4:5" ht="12.75" customHeight="1" x14ac:dyDescent="0.2">
      <c r="E107" s="235"/>
    </row>
    <row r="108" spans="4:5" ht="12.75" customHeight="1" x14ac:dyDescent="0.2">
      <c r="E108" s="235"/>
    </row>
    <row r="109" spans="4:5" ht="12.75" customHeight="1" x14ac:dyDescent="0.2">
      <c r="E109" s="235"/>
    </row>
    <row r="110" spans="4:5" ht="12.75" customHeight="1" x14ac:dyDescent="0.2">
      <c r="E110" s="235"/>
    </row>
    <row r="111" spans="4:5" ht="12.75" customHeight="1" x14ac:dyDescent="0.2">
      <c r="E111" s="235"/>
    </row>
    <row r="112" spans="4:5" ht="12.75" customHeight="1" x14ac:dyDescent="0.2">
      <c r="E112" s="235"/>
    </row>
    <row r="113" spans="5:5" ht="12.75" customHeight="1" x14ac:dyDescent="0.2">
      <c r="E113" s="235"/>
    </row>
    <row r="114" spans="5:5" ht="12.75" customHeight="1" x14ac:dyDescent="0.2">
      <c r="E114" s="235"/>
    </row>
    <row r="115" spans="5:5" ht="12.75" customHeight="1" x14ac:dyDescent="0.2">
      <c r="E115" s="235"/>
    </row>
    <row r="116" spans="5:5" ht="12.75" customHeight="1" x14ac:dyDescent="0.2">
      <c r="E116" s="235"/>
    </row>
    <row r="117" spans="5:5" ht="12.75" customHeight="1" x14ac:dyDescent="0.2">
      <c r="E117" s="235"/>
    </row>
    <row r="118" spans="5:5" ht="12.75" customHeight="1" x14ac:dyDescent="0.2">
      <c r="E118" s="235"/>
    </row>
    <row r="119" spans="5:5" ht="12.75" customHeight="1" x14ac:dyDescent="0.2">
      <c r="E119" s="235"/>
    </row>
    <row r="120" spans="5:5" ht="12.75" customHeight="1" x14ac:dyDescent="0.2">
      <c r="E120" s="235"/>
    </row>
    <row r="121" spans="5:5" ht="12.75" customHeight="1" x14ac:dyDescent="0.2">
      <c r="E121" s="235"/>
    </row>
    <row r="122" spans="5:5" ht="12.75" customHeight="1" x14ac:dyDescent="0.2">
      <c r="E122" s="235"/>
    </row>
    <row r="123" spans="5:5" ht="12.75" customHeight="1" x14ac:dyDescent="0.2">
      <c r="E123" s="235"/>
    </row>
    <row r="124" spans="5:5" ht="12.75" customHeight="1" x14ac:dyDescent="0.2">
      <c r="E124" s="235"/>
    </row>
    <row r="125" spans="5:5" ht="12.75" customHeight="1" x14ac:dyDescent="0.2">
      <c r="E125" s="235"/>
    </row>
    <row r="126" spans="5:5" ht="12.75" customHeight="1" x14ac:dyDescent="0.2">
      <c r="E126" s="235"/>
    </row>
    <row r="127" spans="5:5" ht="12.75" customHeight="1" x14ac:dyDescent="0.2">
      <c r="E127" s="235"/>
    </row>
    <row r="128" spans="5:5" ht="12.75" customHeight="1" x14ac:dyDescent="0.2">
      <c r="E128" s="235"/>
    </row>
    <row r="129" spans="5:5" ht="12.75" customHeight="1" x14ac:dyDescent="0.2">
      <c r="E129" s="235"/>
    </row>
    <row r="130" spans="5:5" ht="12.75" customHeight="1" x14ac:dyDescent="0.2">
      <c r="E130" s="235"/>
    </row>
    <row r="131" spans="5:5" ht="12.75" customHeight="1" x14ac:dyDescent="0.2">
      <c r="E131" s="235"/>
    </row>
    <row r="132" spans="5:5" ht="12.75" customHeight="1" x14ac:dyDescent="0.2">
      <c r="E132" s="235"/>
    </row>
    <row r="133" spans="5:5" ht="12.75" customHeight="1" x14ac:dyDescent="0.2">
      <c r="E133" s="235"/>
    </row>
    <row r="134" spans="5:5" ht="12.75" customHeight="1" x14ac:dyDescent="0.2">
      <c r="E134" s="235"/>
    </row>
    <row r="135" spans="5:5" ht="12.75" customHeight="1" x14ac:dyDescent="0.2">
      <c r="E135" s="235"/>
    </row>
    <row r="136" spans="5:5" ht="12.75" customHeight="1" x14ac:dyDescent="0.2">
      <c r="E136" s="235"/>
    </row>
    <row r="137" spans="5:5" ht="12.75" customHeight="1" x14ac:dyDescent="0.2">
      <c r="E137" s="235"/>
    </row>
    <row r="138" spans="5:5" ht="12.75" customHeight="1" x14ac:dyDescent="0.2">
      <c r="E138" s="235"/>
    </row>
    <row r="139" spans="5:5" ht="12.75" customHeight="1" x14ac:dyDescent="0.2">
      <c r="E139" s="235"/>
    </row>
    <row r="140" spans="5:5" ht="12.75" customHeight="1" x14ac:dyDescent="0.2">
      <c r="E140" s="235"/>
    </row>
    <row r="141" spans="5:5" ht="12.75" customHeight="1" x14ac:dyDescent="0.2">
      <c r="E141" s="235"/>
    </row>
    <row r="142" spans="5:5" ht="12.75" customHeight="1" x14ac:dyDescent="0.2">
      <c r="E142" s="235"/>
    </row>
    <row r="143" spans="5:5" ht="12.75" customHeight="1" x14ac:dyDescent="0.2">
      <c r="E143" s="235"/>
    </row>
    <row r="144" spans="5:5" ht="12.75" customHeight="1" x14ac:dyDescent="0.2">
      <c r="E144" s="235"/>
    </row>
    <row r="145" spans="5:5" ht="12.75" customHeight="1" x14ac:dyDescent="0.2">
      <c r="E145" s="235"/>
    </row>
    <row r="146" spans="5:5" ht="12.75" customHeight="1" x14ac:dyDescent="0.2">
      <c r="E146" s="235"/>
    </row>
    <row r="147" spans="5:5" ht="12.75" customHeight="1" x14ac:dyDescent="0.2">
      <c r="E147" s="235"/>
    </row>
    <row r="148" spans="5:5" ht="12.75" customHeight="1" x14ac:dyDescent="0.2">
      <c r="E148" s="235"/>
    </row>
    <row r="149" spans="5:5" ht="12.75" customHeight="1" x14ac:dyDescent="0.2">
      <c r="E149" s="235"/>
    </row>
    <row r="150" spans="5:5" ht="12.75" customHeight="1" x14ac:dyDescent="0.2">
      <c r="E150" s="235"/>
    </row>
    <row r="151" spans="5:5" ht="12.75" customHeight="1" x14ac:dyDescent="0.2">
      <c r="E151" s="235"/>
    </row>
    <row r="152" spans="5:5" ht="12.75" customHeight="1" x14ac:dyDescent="0.2">
      <c r="E152" s="235"/>
    </row>
    <row r="153" spans="5:5" ht="12.75" customHeight="1" x14ac:dyDescent="0.2">
      <c r="E153" s="235"/>
    </row>
    <row r="154" spans="5:5" ht="12.75" customHeight="1" x14ac:dyDescent="0.2">
      <c r="E154" s="235"/>
    </row>
    <row r="155" spans="5:5" ht="12.75" customHeight="1" x14ac:dyDescent="0.2">
      <c r="E155" s="235"/>
    </row>
    <row r="156" spans="5:5" ht="12.75" customHeight="1" x14ac:dyDescent="0.2">
      <c r="E156" s="235"/>
    </row>
    <row r="157" spans="5:5" ht="12.75" customHeight="1" x14ac:dyDescent="0.2">
      <c r="E157" s="235"/>
    </row>
    <row r="158" spans="5:5" ht="12.75" customHeight="1" x14ac:dyDescent="0.2">
      <c r="E158" s="235"/>
    </row>
    <row r="159" spans="5:5" ht="12.75" customHeight="1" x14ac:dyDescent="0.2">
      <c r="E159" s="235"/>
    </row>
    <row r="160" spans="5:5" ht="12.75" customHeight="1" x14ac:dyDescent="0.2">
      <c r="E160" s="235"/>
    </row>
    <row r="161" spans="5:5" ht="12.75" customHeight="1" x14ac:dyDescent="0.2">
      <c r="E161" s="235"/>
    </row>
    <row r="162" spans="5:5" ht="12.75" customHeight="1" x14ac:dyDescent="0.2">
      <c r="E162" s="235"/>
    </row>
    <row r="163" spans="5:5" ht="12.75" customHeight="1" x14ac:dyDescent="0.2">
      <c r="E163" s="235"/>
    </row>
    <row r="164" spans="5:5" ht="12.75" customHeight="1" x14ac:dyDescent="0.2">
      <c r="E164" s="235"/>
    </row>
    <row r="165" spans="5:5" ht="12.75" customHeight="1" x14ac:dyDescent="0.2">
      <c r="E165" s="235"/>
    </row>
    <row r="166" spans="5:5" ht="12.75" customHeight="1" x14ac:dyDescent="0.2">
      <c r="E166" s="235"/>
    </row>
    <row r="167" spans="5:5" ht="12.75" customHeight="1" x14ac:dyDescent="0.2">
      <c r="E167" s="235"/>
    </row>
    <row r="168" spans="5:5" ht="12.75" customHeight="1" x14ac:dyDescent="0.2">
      <c r="E168" s="235"/>
    </row>
    <row r="169" spans="5:5" ht="12.75" customHeight="1" x14ac:dyDescent="0.2">
      <c r="E169" s="235"/>
    </row>
    <row r="170" spans="5:5" ht="12.75" customHeight="1" x14ac:dyDescent="0.2">
      <c r="E170" s="235"/>
    </row>
    <row r="171" spans="5:5" ht="12.75" customHeight="1" x14ac:dyDescent="0.2">
      <c r="E171" s="235"/>
    </row>
    <row r="172" spans="5:5" ht="12.75" customHeight="1" x14ac:dyDescent="0.2">
      <c r="E172" s="235"/>
    </row>
    <row r="173" spans="5:5" ht="12.75" customHeight="1" x14ac:dyDescent="0.2">
      <c r="E173" s="235"/>
    </row>
    <row r="174" spans="5:5" ht="12.75" customHeight="1" x14ac:dyDescent="0.2">
      <c r="E174" s="235"/>
    </row>
    <row r="175" spans="5:5" ht="12.75" customHeight="1" x14ac:dyDescent="0.2">
      <c r="E175" s="235"/>
    </row>
    <row r="176" spans="5:5" ht="12.75" customHeight="1" x14ac:dyDescent="0.2">
      <c r="E176" s="235"/>
    </row>
    <row r="177" spans="5:5" ht="12.75" customHeight="1" x14ac:dyDescent="0.2">
      <c r="E177" s="235"/>
    </row>
    <row r="178" spans="5:5" ht="12.75" customHeight="1" x14ac:dyDescent="0.2">
      <c r="E178" s="235"/>
    </row>
    <row r="179" spans="5:5" ht="12.75" customHeight="1" x14ac:dyDescent="0.2">
      <c r="E179" s="235"/>
    </row>
    <row r="180" spans="5:5" ht="12.75" customHeight="1" x14ac:dyDescent="0.2">
      <c r="E180" s="235"/>
    </row>
    <row r="181" spans="5:5" ht="12.75" customHeight="1" x14ac:dyDescent="0.2">
      <c r="E181" s="235"/>
    </row>
    <row r="182" spans="5:5" ht="12.75" customHeight="1" x14ac:dyDescent="0.2">
      <c r="E182" s="235"/>
    </row>
    <row r="183" spans="5:5" ht="12.75" customHeight="1" x14ac:dyDescent="0.2">
      <c r="E183" s="235"/>
    </row>
    <row r="184" spans="5:5" ht="12.75" customHeight="1" x14ac:dyDescent="0.2">
      <c r="E184" s="235"/>
    </row>
    <row r="185" spans="5:5" ht="12.75" customHeight="1" x14ac:dyDescent="0.2">
      <c r="E185" s="235"/>
    </row>
    <row r="186" spans="5:5" ht="12.75" customHeight="1" x14ac:dyDescent="0.2">
      <c r="E186" s="235"/>
    </row>
    <row r="187" spans="5:5" ht="12.75" customHeight="1" x14ac:dyDescent="0.2">
      <c r="E187" s="235"/>
    </row>
    <row r="188" spans="5:5" ht="12.75" customHeight="1" x14ac:dyDescent="0.2">
      <c r="E188" s="235"/>
    </row>
    <row r="189" spans="5:5" ht="12.75" customHeight="1" x14ac:dyDescent="0.2">
      <c r="E189" s="235"/>
    </row>
    <row r="190" spans="5:5" ht="12.75" customHeight="1" x14ac:dyDescent="0.2">
      <c r="E190" s="235"/>
    </row>
    <row r="191" spans="5:5" ht="12.75" customHeight="1" x14ac:dyDescent="0.2">
      <c r="E191" s="235"/>
    </row>
    <row r="192" spans="5:5" ht="12.75" customHeight="1" x14ac:dyDescent="0.2">
      <c r="E192" s="235"/>
    </row>
    <row r="193" spans="5:5" ht="12.75" customHeight="1" x14ac:dyDescent="0.2">
      <c r="E193" s="235"/>
    </row>
    <row r="194" spans="5:5" ht="12.75" customHeight="1" x14ac:dyDescent="0.2">
      <c r="E194" s="235"/>
    </row>
    <row r="195" spans="5:5" ht="12.75" customHeight="1" x14ac:dyDescent="0.2">
      <c r="E195" s="235"/>
    </row>
    <row r="196" spans="5:5" ht="12.75" customHeight="1" x14ac:dyDescent="0.2">
      <c r="E196" s="235"/>
    </row>
    <row r="197" spans="5:5" ht="12.75" customHeight="1" x14ac:dyDescent="0.2">
      <c r="E197" s="235"/>
    </row>
    <row r="198" spans="5:5" ht="12.75" customHeight="1" x14ac:dyDescent="0.2">
      <c r="E198" s="235"/>
    </row>
    <row r="199" spans="5:5" ht="12.75" customHeight="1" x14ac:dyDescent="0.2">
      <c r="E199" s="235"/>
    </row>
    <row r="200" spans="5:5" ht="12.75" customHeight="1" x14ac:dyDescent="0.2">
      <c r="E200" s="235"/>
    </row>
    <row r="201" spans="5:5" ht="12.75" customHeight="1" x14ac:dyDescent="0.2">
      <c r="E201" s="235"/>
    </row>
    <row r="202" spans="5:5" ht="12.75" customHeight="1" x14ac:dyDescent="0.2">
      <c r="E202" s="235"/>
    </row>
    <row r="203" spans="5:5" ht="12.75" customHeight="1" x14ac:dyDescent="0.2">
      <c r="E203" s="235"/>
    </row>
    <row r="204" spans="5:5" ht="12.75" customHeight="1" x14ac:dyDescent="0.2">
      <c r="E204" s="235"/>
    </row>
    <row r="205" spans="5:5" ht="12.75" customHeight="1" x14ac:dyDescent="0.2">
      <c r="E205" s="235"/>
    </row>
    <row r="206" spans="5:5" ht="12.75" customHeight="1" x14ac:dyDescent="0.2">
      <c r="E206" s="235"/>
    </row>
    <row r="207" spans="5:5" ht="12.75" customHeight="1" x14ac:dyDescent="0.2">
      <c r="E207" s="235"/>
    </row>
    <row r="208" spans="5:5" ht="12.75" customHeight="1" x14ac:dyDescent="0.2">
      <c r="E208" s="235"/>
    </row>
    <row r="209" spans="5:5" ht="12.75" customHeight="1" x14ac:dyDescent="0.2">
      <c r="E209" s="235"/>
    </row>
    <row r="210" spans="5:5" ht="12.75" customHeight="1" x14ac:dyDescent="0.2">
      <c r="E210" s="235"/>
    </row>
    <row r="211" spans="5:5" ht="12.75" customHeight="1" x14ac:dyDescent="0.2">
      <c r="E211" s="235"/>
    </row>
    <row r="212" spans="5:5" ht="12.75" customHeight="1" x14ac:dyDescent="0.2">
      <c r="E212" s="235"/>
    </row>
    <row r="213" spans="5:5" ht="12.75" customHeight="1" x14ac:dyDescent="0.2">
      <c r="E213" s="235"/>
    </row>
    <row r="214" spans="5:5" ht="12.75" customHeight="1" x14ac:dyDescent="0.2">
      <c r="E214" s="235"/>
    </row>
    <row r="215" spans="5:5" ht="12.75" customHeight="1" x14ac:dyDescent="0.2">
      <c r="E215" s="235"/>
    </row>
    <row r="216" spans="5:5" ht="12.75" customHeight="1" x14ac:dyDescent="0.2">
      <c r="E216" s="235"/>
    </row>
    <row r="217" spans="5:5" ht="12.75" customHeight="1" x14ac:dyDescent="0.2">
      <c r="E217" s="235"/>
    </row>
    <row r="218" spans="5:5" ht="12.75" customHeight="1" x14ac:dyDescent="0.2">
      <c r="E218" s="235"/>
    </row>
    <row r="219" spans="5:5" ht="12.75" customHeight="1" x14ac:dyDescent="0.2">
      <c r="E219" s="235"/>
    </row>
    <row r="220" spans="5:5" ht="12.75" customHeight="1" x14ac:dyDescent="0.2">
      <c r="E220" s="235"/>
    </row>
    <row r="221" spans="5:5" ht="12.75" customHeight="1" x14ac:dyDescent="0.2">
      <c r="E221" s="235"/>
    </row>
    <row r="222" spans="5:5" ht="12.75" customHeight="1" x14ac:dyDescent="0.2">
      <c r="E222" s="235"/>
    </row>
    <row r="223" spans="5:5" ht="12.75" customHeight="1" x14ac:dyDescent="0.2">
      <c r="E223" s="235"/>
    </row>
    <row r="224" spans="5:5" ht="12.75" customHeight="1" x14ac:dyDescent="0.2">
      <c r="E224" s="235"/>
    </row>
    <row r="225" spans="5:5" ht="12.75" customHeight="1" x14ac:dyDescent="0.2">
      <c r="E225" s="235"/>
    </row>
    <row r="226" spans="5:5" ht="12.75" customHeight="1" x14ac:dyDescent="0.2">
      <c r="E226" s="235"/>
    </row>
    <row r="227" spans="5:5" ht="12.75" customHeight="1" x14ac:dyDescent="0.2">
      <c r="E227" s="235"/>
    </row>
    <row r="228" spans="5:5" ht="12.75" customHeight="1" x14ac:dyDescent="0.2">
      <c r="E228" s="235"/>
    </row>
    <row r="229" spans="5:5" ht="12.75" customHeight="1" x14ac:dyDescent="0.2">
      <c r="E229" s="235"/>
    </row>
    <row r="230" spans="5:5" ht="12.75" customHeight="1" x14ac:dyDescent="0.2">
      <c r="E230" s="235"/>
    </row>
    <row r="231" spans="5:5" ht="12.75" customHeight="1" x14ac:dyDescent="0.2">
      <c r="E231" s="235"/>
    </row>
    <row r="232" spans="5:5" ht="12.75" customHeight="1" x14ac:dyDescent="0.2">
      <c r="E232" s="235"/>
    </row>
    <row r="233" spans="5:5" ht="12.75" customHeight="1" x14ac:dyDescent="0.2">
      <c r="E233" s="235"/>
    </row>
    <row r="234" spans="5:5" ht="12.75" customHeight="1" x14ac:dyDescent="0.2">
      <c r="E234" s="235"/>
    </row>
    <row r="235" spans="5:5" ht="12.75" customHeight="1" x14ac:dyDescent="0.2">
      <c r="E235" s="235"/>
    </row>
    <row r="236" spans="5:5" ht="12.75" customHeight="1" x14ac:dyDescent="0.2">
      <c r="E236" s="235"/>
    </row>
    <row r="237" spans="5:5" ht="12.75" customHeight="1" x14ac:dyDescent="0.2">
      <c r="E237" s="235"/>
    </row>
    <row r="238" spans="5:5" ht="12.75" customHeight="1" x14ac:dyDescent="0.2">
      <c r="E238" s="235"/>
    </row>
    <row r="239" spans="5:5" ht="12.75" customHeight="1" x14ac:dyDescent="0.2">
      <c r="E239" s="235"/>
    </row>
    <row r="240" spans="5:5" ht="12.75" customHeight="1" x14ac:dyDescent="0.2">
      <c r="E240" s="235"/>
    </row>
    <row r="241" spans="5:5" ht="12.75" customHeight="1" x14ac:dyDescent="0.2">
      <c r="E241" s="235"/>
    </row>
    <row r="242" spans="5:5" ht="12.75" customHeight="1" x14ac:dyDescent="0.2">
      <c r="E242" s="235"/>
    </row>
    <row r="243" spans="5:5" ht="12.75" customHeight="1" x14ac:dyDescent="0.2">
      <c r="E243" s="235"/>
    </row>
    <row r="244" spans="5:5" ht="12.75" customHeight="1" x14ac:dyDescent="0.2">
      <c r="E244" s="235"/>
    </row>
    <row r="245" spans="5:5" ht="12.75" customHeight="1" x14ac:dyDescent="0.2">
      <c r="E245" s="235"/>
    </row>
    <row r="246" spans="5:5" ht="12.75" customHeight="1" x14ac:dyDescent="0.2">
      <c r="E246" s="235"/>
    </row>
    <row r="247" spans="5:5" ht="12.75" customHeight="1" x14ac:dyDescent="0.2">
      <c r="E247" s="235"/>
    </row>
    <row r="248" spans="5:5" ht="12.75" customHeight="1" x14ac:dyDescent="0.2">
      <c r="E248" s="235"/>
    </row>
    <row r="249" spans="5:5" ht="12.75" customHeight="1" x14ac:dyDescent="0.2">
      <c r="E249" s="235"/>
    </row>
    <row r="250" spans="5:5" ht="12.75" customHeight="1" x14ac:dyDescent="0.2">
      <c r="E250" s="235"/>
    </row>
    <row r="251" spans="5:5" ht="12.75" customHeight="1" x14ac:dyDescent="0.2">
      <c r="E251" s="235"/>
    </row>
    <row r="252" spans="5:5" ht="12.75" customHeight="1" x14ac:dyDescent="0.2">
      <c r="E252" s="235"/>
    </row>
    <row r="253" spans="5:5" ht="12.75" customHeight="1" x14ac:dyDescent="0.2">
      <c r="E253" s="235"/>
    </row>
    <row r="254" spans="5:5" ht="12.75" customHeight="1" x14ac:dyDescent="0.2">
      <c r="E254" s="235"/>
    </row>
    <row r="255" spans="5:5" ht="12.75" customHeight="1" x14ac:dyDescent="0.2">
      <c r="E255" s="235"/>
    </row>
    <row r="256" spans="5:5" ht="12.75" customHeight="1" x14ac:dyDescent="0.2">
      <c r="E256" s="235"/>
    </row>
    <row r="257" spans="5:5" ht="12.75" customHeight="1" x14ac:dyDescent="0.2">
      <c r="E257" s="235"/>
    </row>
    <row r="258" spans="5:5" ht="12.75" customHeight="1" x14ac:dyDescent="0.2">
      <c r="E258" s="235"/>
    </row>
    <row r="259" spans="5:5" ht="12.75" customHeight="1" x14ac:dyDescent="0.2">
      <c r="E259" s="235"/>
    </row>
    <row r="260" spans="5:5" ht="12.75" customHeight="1" x14ac:dyDescent="0.2">
      <c r="E260" s="235"/>
    </row>
    <row r="261" spans="5:5" ht="12.75" customHeight="1" x14ac:dyDescent="0.2">
      <c r="E261" s="235"/>
    </row>
    <row r="262" spans="5:5" ht="12.75" customHeight="1" x14ac:dyDescent="0.2">
      <c r="E262" s="235"/>
    </row>
    <row r="263" spans="5:5" ht="12.75" customHeight="1" x14ac:dyDescent="0.2">
      <c r="E263" s="235"/>
    </row>
    <row r="264" spans="5:5" ht="12.75" customHeight="1" x14ac:dyDescent="0.2">
      <c r="E264" s="235"/>
    </row>
    <row r="265" spans="5:5" ht="12.75" customHeight="1" x14ac:dyDescent="0.2">
      <c r="E265" s="235"/>
    </row>
    <row r="266" spans="5:5" ht="12.75" customHeight="1" x14ac:dyDescent="0.2">
      <c r="E266" s="235"/>
    </row>
    <row r="267" spans="5:5" ht="12.75" customHeight="1" x14ac:dyDescent="0.2">
      <c r="E267" s="235"/>
    </row>
    <row r="268" spans="5:5" ht="12.75" customHeight="1" x14ac:dyDescent="0.2">
      <c r="E268" s="235"/>
    </row>
    <row r="269" spans="5:5" ht="12.75" customHeight="1" x14ac:dyDescent="0.2">
      <c r="E269" s="235"/>
    </row>
    <row r="270" spans="5:5" ht="12.75" customHeight="1" x14ac:dyDescent="0.2">
      <c r="E270" s="235"/>
    </row>
    <row r="271" spans="5:5" ht="12.75" customHeight="1" x14ac:dyDescent="0.2">
      <c r="E271" s="235"/>
    </row>
    <row r="272" spans="5:5" ht="12.75" customHeight="1" x14ac:dyDescent="0.2">
      <c r="E272" s="235"/>
    </row>
    <row r="273" spans="5:5" ht="12.75" customHeight="1" x14ac:dyDescent="0.2">
      <c r="E273" s="235"/>
    </row>
    <row r="274" spans="5:5" ht="12.75" customHeight="1" x14ac:dyDescent="0.2">
      <c r="E274" s="235"/>
    </row>
    <row r="275" spans="5:5" ht="12.75" customHeight="1" x14ac:dyDescent="0.2">
      <c r="E275" s="235"/>
    </row>
    <row r="276" spans="5:5" ht="12.75" customHeight="1" x14ac:dyDescent="0.2">
      <c r="E276" s="235"/>
    </row>
    <row r="277" spans="5:5" ht="12.75" customHeight="1" x14ac:dyDescent="0.2">
      <c r="E277" s="235"/>
    </row>
    <row r="278" spans="5:5" ht="12.75" customHeight="1" x14ac:dyDescent="0.2">
      <c r="E278" s="235"/>
    </row>
    <row r="279" spans="5:5" ht="12.75" customHeight="1" x14ac:dyDescent="0.2">
      <c r="E279" s="235"/>
    </row>
    <row r="280" spans="5:5" ht="12.75" customHeight="1" x14ac:dyDescent="0.2">
      <c r="E280" s="235"/>
    </row>
    <row r="281" spans="5:5" ht="12.75" customHeight="1" x14ac:dyDescent="0.2">
      <c r="E281" s="235"/>
    </row>
    <row r="282" spans="5:5" ht="12.75" customHeight="1" x14ac:dyDescent="0.2">
      <c r="E282" s="235"/>
    </row>
    <row r="283" spans="5:5" ht="12.75" customHeight="1" x14ac:dyDescent="0.2">
      <c r="E283" s="235"/>
    </row>
    <row r="284" spans="5:5" ht="12.75" customHeight="1" x14ac:dyDescent="0.2">
      <c r="E284" s="235"/>
    </row>
    <row r="285" spans="5:5" ht="12.75" customHeight="1" x14ac:dyDescent="0.2">
      <c r="E285" s="235"/>
    </row>
    <row r="286" spans="5:5" ht="12.75" customHeight="1" x14ac:dyDescent="0.2">
      <c r="E286" s="235"/>
    </row>
    <row r="287" spans="5:5" ht="12.75" customHeight="1" x14ac:dyDescent="0.2">
      <c r="E287" s="235"/>
    </row>
    <row r="288" spans="5:5" ht="12.75" customHeight="1" x14ac:dyDescent="0.2">
      <c r="E288" s="235"/>
    </row>
    <row r="289" spans="5:5" ht="12.75" customHeight="1" x14ac:dyDescent="0.2">
      <c r="E289" s="235"/>
    </row>
    <row r="290" spans="5:5" ht="12.75" customHeight="1" x14ac:dyDescent="0.2">
      <c r="E290" s="235"/>
    </row>
    <row r="291" spans="5:5" ht="12.75" customHeight="1" x14ac:dyDescent="0.2">
      <c r="E291" s="235"/>
    </row>
    <row r="292" spans="5:5" ht="12.75" customHeight="1" x14ac:dyDescent="0.2">
      <c r="E292" s="235"/>
    </row>
    <row r="293" spans="5:5" ht="12.75" customHeight="1" x14ac:dyDescent="0.2">
      <c r="E293" s="235"/>
    </row>
    <row r="294" spans="5:5" ht="12.75" customHeight="1" x14ac:dyDescent="0.2">
      <c r="E294" s="235"/>
    </row>
    <row r="295" spans="5:5" ht="12.75" customHeight="1" x14ac:dyDescent="0.2">
      <c r="E295" s="235"/>
    </row>
    <row r="296" spans="5:5" ht="12.75" customHeight="1" x14ac:dyDescent="0.2">
      <c r="E296" s="235"/>
    </row>
    <row r="297" spans="5:5" ht="12.75" customHeight="1" x14ac:dyDescent="0.2">
      <c r="E297" s="235"/>
    </row>
    <row r="298" spans="5:5" ht="12.75" customHeight="1" x14ac:dyDescent="0.2">
      <c r="E298" s="235"/>
    </row>
    <row r="299" spans="5:5" ht="12.75" customHeight="1" x14ac:dyDescent="0.2">
      <c r="E299" s="235"/>
    </row>
    <row r="300" spans="5:5" ht="12.75" customHeight="1" x14ac:dyDescent="0.2">
      <c r="E300" s="235"/>
    </row>
    <row r="301" spans="5:5" ht="12.75" customHeight="1" x14ac:dyDescent="0.2">
      <c r="E301" s="235"/>
    </row>
    <row r="302" spans="5:5" ht="12.75" customHeight="1" x14ac:dyDescent="0.2">
      <c r="E302" s="235"/>
    </row>
    <row r="303" spans="5:5" ht="12.75" customHeight="1" x14ac:dyDescent="0.2">
      <c r="E303" s="235"/>
    </row>
    <row r="304" spans="5:5" ht="12.75" customHeight="1" x14ac:dyDescent="0.2">
      <c r="E304" s="235"/>
    </row>
    <row r="305" spans="5:5" ht="12.75" customHeight="1" x14ac:dyDescent="0.2">
      <c r="E305" s="235"/>
    </row>
    <row r="306" spans="5:5" ht="12.75" customHeight="1" x14ac:dyDescent="0.2">
      <c r="E306" s="235"/>
    </row>
    <row r="307" spans="5:5" ht="15.75" customHeight="1" x14ac:dyDescent="0.2"/>
    <row r="308" spans="5:5" ht="15.75" customHeight="1" x14ac:dyDescent="0.2"/>
    <row r="309" spans="5:5" ht="15.75" customHeight="1" x14ac:dyDescent="0.2"/>
    <row r="310" spans="5:5" ht="15.75" customHeight="1" x14ac:dyDescent="0.2"/>
    <row r="311" spans="5:5" ht="15.75" customHeight="1" x14ac:dyDescent="0.2"/>
    <row r="312" spans="5:5" ht="15.75" customHeight="1" x14ac:dyDescent="0.2"/>
    <row r="313" spans="5:5" ht="15.75" customHeight="1" x14ac:dyDescent="0.2"/>
    <row r="314" spans="5:5" ht="15.75" customHeight="1" x14ac:dyDescent="0.2"/>
    <row r="315" spans="5:5" ht="15.75" customHeight="1" x14ac:dyDescent="0.2"/>
    <row r="316" spans="5:5" ht="15.75" customHeight="1" x14ac:dyDescent="0.2"/>
    <row r="317" spans="5:5" ht="15.75" customHeight="1" x14ac:dyDescent="0.2"/>
    <row r="318" spans="5:5" ht="15.75" customHeight="1" x14ac:dyDescent="0.2"/>
    <row r="319" spans="5:5" ht="15.75" customHeight="1" x14ac:dyDescent="0.2"/>
    <row r="320" spans="5: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703125" defaultRowHeight="15" customHeight="1" x14ac:dyDescent="0.2"/>
  <cols>
    <col min="1" max="1" width="24.5703125" customWidth="1"/>
    <col min="2" max="2" width="20.85546875" customWidth="1"/>
    <col min="3" max="22" width="9.140625" customWidth="1"/>
    <col min="23" max="26" width="14.42578125" customWidth="1"/>
  </cols>
  <sheetData>
    <row r="1" spans="1:22" ht="19.5" customHeight="1" x14ac:dyDescent="0.2">
      <c r="A1" s="276" t="s">
        <v>248</v>
      </c>
      <c r="B1" s="277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9.5" customHeight="1" x14ac:dyDescent="0.2">
      <c r="A2" s="237" t="s">
        <v>249</v>
      </c>
      <c r="B2" s="238" t="s">
        <v>250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9.5" customHeight="1" x14ac:dyDescent="0.2">
      <c r="A3" s="239">
        <v>1</v>
      </c>
      <c r="B3" s="240">
        <v>33.629999999999995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9.5" customHeight="1" x14ac:dyDescent="0.2">
      <c r="A4" s="239">
        <v>2</v>
      </c>
      <c r="B4" s="240">
        <v>43.13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9.5" customHeight="1" x14ac:dyDescent="0.2">
      <c r="A5" s="239">
        <v>3</v>
      </c>
      <c r="B5" s="240">
        <v>48.68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ht="19.5" customHeight="1" x14ac:dyDescent="0.2">
      <c r="A6" s="239">
        <v>4</v>
      </c>
      <c r="B6" s="240">
        <v>52.62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ht="19.5" customHeight="1" x14ac:dyDescent="0.2">
      <c r="A7" s="239">
        <v>5</v>
      </c>
      <c r="B7" s="240">
        <v>55.679999999999993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ht="19.5" customHeight="1" x14ac:dyDescent="0.2">
      <c r="A8" s="239">
        <v>6</v>
      </c>
      <c r="B8" s="240">
        <v>58.18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2" ht="19.5" customHeight="1" x14ac:dyDescent="0.2">
      <c r="A9" s="239">
        <v>7</v>
      </c>
      <c r="B9" s="240">
        <v>60.29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spans="1:22" ht="19.5" customHeight="1" x14ac:dyDescent="0.2">
      <c r="A10" s="239">
        <v>8</v>
      </c>
      <c r="B10" s="240">
        <v>62.12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19.5" customHeight="1" x14ac:dyDescent="0.2">
      <c r="A11" s="239">
        <v>9</v>
      </c>
      <c r="B11" s="240">
        <v>63.73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19.5" customHeight="1" x14ac:dyDescent="0.2">
      <c r="A12" s="239">
        <v>10</v>
      </c>
      <c r="B12" s="240">
        <v>65.180000000000007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ht="19.5" customHeight="1" x14ac:dyDescent="0.2">
      <c r="A13" s="239">
        <v>11</v>
      </c>
      <c r="B13" s="240">
        <v>66.47999999999999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:22" ht="19.5" customHeight="1" x14ac:dyDescent="0.2">
      <c r="A14" s="239">
        <v>12</v>
      </c>
      <c r="B14" s="240">
        <v>67.67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22" ht="19.5" customHeight="1" x14ac:dyDescent="0.2">
      <c r="A15" s="239">
        <v>13</v>
      </c>
      <c r="B15" s="240">
        <v>68.77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:22" ht="19.5" customHeight="1" x14ac:dyDescent="0.2">
      <c r="A16" s="239">
        <v>14</v>
      </c>
      <c r="B16" s="240">
        <v>69.789999999999992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</row>
    <row r="17" spans="1:22" ht="19.5" customHeight="1" x14ac:dyDescent="0.2">
      <c r="A17" s="241">
        <v>15</v>
      </c>
      <c r="B17" s="242">
        <v>70.73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</row>
    <row r="18" spans="1:22" ht="19.5" customHeigh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2" ht="19.5" customHeight="1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</row>
    <row r="20" spans="1:22" ht="19.5" customHeight="1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</row>
    <row r="21" spans="1:22" ht="19.5" customHeight="1" x14ac:dyDescent="0.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</row>
    <row r="22" spans="1:22" ht="19.5" customHeight="1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ht="19.5" customHeight="1" x14ac:dyDescent="0.2">
      <c r="A23" s="141"/>
      <c r="B23" s="141"/>
      <c r="C23" s="141"/>
      <c r="D23" s="141"/>
      <c r="E23" s="185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22" ht="19.5" customHeight="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 ht="19.5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22" ht="19.5" customHeight="1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22" ht="19.5" customHeight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2" ht="19.5" customHeight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22" ht="19.5" customHeigh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22" ht="19.5" customHeight="1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ht="19.5" customHeight="1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22" ht="19.5" customHeight="1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1:22" ht="19.5" customHeight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ht="19.5" customHeight="1" x14ac:dyDescent="0.2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2" ht="19.5" customHeight="1" x14ac:dyDescent="0.2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22" ht="19.5" customHeight="1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9.5" customHeight="1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22" ht="19.5" customHeight="1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</row>
    <row r="39" spans="1:22" ht="19.5" customHeight="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</row>
    <row r="40" spans="1:22" ht="19.5" customHeight="1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</row>
    <row r="41" spans="1:22" ht="19.5" customHeight="1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</row>
    <row r="42" spans="1:22" ht="19.5" customHeight="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1:22" ht="19.5" customHeight="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</row>
    <row r="44" spans="1:22" ht="19.5" customHeight="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</row>
    <row r="45" spans="1:22" ht="19.5" customHeight="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</row>
    <row r="46" spans="1:22" ht="19.5" customHeight="1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1:22" ht="19.5" customHeight="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spans="1:22" ht="19.5" customHeight="1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</row>
    <row r="49" spans="1:22" ht="19.5" customHeight="1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0" spans="1:22" ht="19.5" customHeight="1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</row>
    <row r="51" spans="1:22" ht="19.5" customHeight="1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</row>
    <row r="52" spans="1:22" ht="19.5" customHeight="1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</row>
    <row r="53" spans="1:22" ht="19.5" customHeight="1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</row>
    <row r="54" spans="1:22" ht="19.5" customHeight="1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1:22" ht="19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</row>
    <row r="56" spans="1:22" ht="19.5" customHeight="1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:22" ht="19.5" customHeight="1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</row>
    <row r="58" spans="1:22" ht="19.5" customHeight="1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</row>
    <row r="59" spans="1:22" ht="19.5" customHeight="1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</row>
    <row r="60" spans="1:22" ht="19.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</row>
    <row r="61" spans="1:22" ht="19.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</row>
    <row r="62" spans="1:22" ht="19.5" customHeight="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</row>
    <row r="63" spans="1:22" ht="19.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</row>
    <row r="64" spans="1:22" ht="19.5" customHeight="1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1:22" ht="19.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</row>
    <row r="66" spans="1:22" ht="19.5" customHeight="1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</row>
    <row r="67" spans="1:22" ht="19.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</row>
    <row r="68" spans="1:22" ht="19.5" customHeight="1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</row>
    <row r="69" spans="1:22" ht="19.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</row>
    <row r="70" spans="1:22" ht="19.5" customHeight="1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</row>
    <row r="71" spans="1:22" ht="19.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</row>
    <row r="72" spans="1:22" ht="19.5" customHeight="1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</row>
    <row r="73" spans="1:22" ht="19.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</row>
    <row r="74" spans="1:22" ht="19.5" customHeight="1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</row>
    <row r="75" spans="1:22" ht="19.5" customHeight="1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</row>
    <row r="76" spans="1:22" ht="19.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</row>
    <row r="77" spans="1:22" ht="19.5" customHeight="1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</row>
    <row r="78" spans="1:22" ht="19.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</row>
    <row r="79" spans="1:22" ht="19.5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</row>
    <row r="80" spans="1:22" ht="19.5" customHeight="1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</row>
    <row r="81" spans="1:22" ht="19.5" customHeight="1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</row>
    <row r="82" spans="1:22" ht="19.5" customHeight="1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</row>
    <row r="83" spans="1:22" ht="19.5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</row>
    <row r="84" spans="1:22" ht="19.5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</row>
    <row r="85" spans="1:22" ht="19.5" customHeight="1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</row>
    <row r="86" spans="1:22" ht="19.5" customHeight="1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</row>
    <row r="87" spans="1:22" ht="19.5" customHeight="1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</row>
    <row r="88" spans="1:22" ht="19.5" customHeight="1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</row>
    <row r="89" spans="1:22" ht="19.5" customHeight="1" x14ac:dyDescent="0.2">
      <c r="A89" s="141" t="s">
        <v>197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</row>
    <row r="90" spans="1:22" ht="19.5" customHeight="1" x14ac:dyDescent="0.2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</row>
    <row r="91" spans="1:22" ht="19.5" customHeight="1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</row>
    <row r="92" spans="1:22" ht="19.5" customHeight="1" x14ac:dyDescent="0.2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</row>
    <row r="93" spans="1:22" ht="19.5" customHeight="1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</row>
    <row r="94" spans="1:22" ht="19.5" customHeight="1" x14ac:dyDescent="0.2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</row>
    <row r="95" spans="1:22" ht="19.5" customHeight="1" x14ac:dyDescent="0.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</row>
    <row r="96" spans="1:22" ht="19.5" customHeight="1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</row>
    <row r="97" spans="1:22" ht="19.5" customHeight="1" x14ac:dyDescent="0.2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</row>
    <row r="98" spans="1:22" ht="19.5" customHeight="1" x14ac:dyDescent="0.2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</row>
    <row r="99" spans="1:22" ht="19.5" customHeight="1" x14ac:dyDescent="0.2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</row>
    <row r="100" spans="1:22" ht="19.5" customHeight="1" x14ac:dyDescent="0.2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</row>
    <row r="101" spans="1:22" ht="19.5" customHeight="1" x14ac:dyDescent="0.2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</row>
    <row r="102" spans="1:22" ht="19.5" customHeight="1" x14ac:dyDescent="0.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</row>
    <row r="103" spans="1:22" ht="19.5" customHeight="1" x14ac:dyDescent="0.2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</row>
    <row r="104" spans="1:22" ht="19.5" customHeight="1" x14ac:dyDescent="0.2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</row>
    <row r="105" spans="1:22" ht="19.5" customHeight="1" x14ac:dyDescent="0.2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</row>
    <row r="106" spans="1:22" ht="19.5" customHeight="1" x14ac:dyDescent="0.2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</row>
    <row r="107" spans="1:22" ht="19.5" customHeight="1" x14ac:dyDescent="0.2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</row>
    <row r="108" spans="1:22" ht="19.5" customHeight="1" x14ac:dyDescent="0.2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</row>
    <row r="109" spans="1:22" ht="19.5" customHeight="1" x14ac:dyDescent="0.2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</row>
    <row r="110" spans="1:22" ht="19.5" customHeight="1" x14ac:dyDescent="0.2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</row>
    <row r="111" spans="1:22" ht="19.5" customHeight="1" x14ac:dyDescent="0.2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</row>
    <row r="112" spans="1:22" ht="19.5" customHeight="1" x14ac:dyDescent="0.2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</row>
    <row r="113" spans="1:22" ht="19.5" customHeight="1" x14ac:dyDescent="0.2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</row>
    <row r="114" spans="1:22" ht="19.5" customHeigh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</row>
    <row r="115" spans="1:22" ht="19.5" customHeight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</row>
    <row r="116" spans="1:22" ht="19.5" customHeight="1" x14ac:dyDescent="0.2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</row>
    <row r="117" spans="1:22" ht="19.5" customHeight="1" x14ac:dyDescent="0.2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</row>
    <row r="118" spans="1:22" ht="19.5" customHeight="1" x14ac:dyDescent="0.2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</row>
    <row r="119" spans="1:22" ht="19.5" customHeight="1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</row>
    <row r="120" spans="1:22" ht="19.5" customHeight="1" x14ac:dyDescent="0.2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</row>
    <row r="121" spans="1:22" ht="19.5" customHeight="1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</row>
    <row r="122" spans="1:22" ht="19.5" customHeight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</row>
    <row r="123" spans="1:22" ht="19.5" customHeight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</row>
    <row r="124" spans="1:22" ht="19.5" customHeigh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</row>
    <row r="125" spans="1:22" ht="19.5" customHeight="1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</row>
    <row r="126" spans="1:22" ht="19.5" customHeight="1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</row>
    <row r="127" spans="1:22" ht="19.5" customHeight="1" x14ac:dyDescent="0.2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</row>
    <row r="128" spans="1:22" ht="19.5" customHeight="1" x14ac:dyDescent="0.2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</row>
    <row r="129" spans="1:22" ht="19.5" customHeight="1" x14ac:dyDescent="0.2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</row>
    <row r="130" spans="1:22" ht="19.5" customHeight="1" x14ac:dyDescent="0.2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</row>
    <row r="131" spans="1:22" ht="19.5" customHeight="1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</row>
    <row r="132" spans="1:22" ht="19.5" customHeight="1" x14ac:dyDescent="0.2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</row>
    <row r="133" spans="1:22" ht="19.5" customHeight="1" x14ac:dyDescent="0.2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</row>
    <row r="134" spans="1:22" ht="19.5" customHeight="1" x14ac:dyDescent="0.2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</row>
    <row r="135" spans="1:22" ht="19.5" customHeight="1" x14ac:dyDescent="0.2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</row>
    <row r="136" spans="1:22" ht="19.5" customHeight="1" x14ac:dyDescent="0.2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</row>
    <row r="137" spans="1:22" ht="19.5" customHeight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</row>
    <row r="138" spans="1:22" ht="19.5" customHeight="1" x14ac:dyDescent="0.2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</row>
    <row r="139" spans="1:22" ht="19.5" customHeight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</row>
    <row r="140" spans="1:22" ht="19.5" customHeight="1" x14ac:dyDescent="0.2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</row>
    <row r="141" spans="1:22" ht="19.5" customHeight="1" x14ac:dyDescent="0.2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</row>
    <row r="142" spans="1:22" ht="19.5" customHeight="1" x14ac:dyDescent="0.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</row>
    <row r="143" spans="1:22" ht="19.5" customHeight="1" x14ac:dyDescent="0.2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</row>
    <row r="144" spans="1:22" ht="19.5" customHeight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</row>
    <row r="145" spans="1:22" ht="19.5" customHeight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</row>
    <row r="146" spans="1:22" ht="19.5" customHeigh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</row>
    <row r="147" spans="1:22" ht="19.5" customHeigh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</row>
    <row r="148" spans="1:22" ht="19.5" customHeight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</row>
    <row r="149" spans="1:22" ht="19.5" customHeight="1" x14ac:dyDescent="0.2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</row>
    <row r="150" spans="1:22" ht="19.5" customHeigh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</row>
    <row r="151" spans="1:22" ht="19.5" customHeight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</row>
    <row r="152" spans="1:22" ht="19.5" customHeigh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</row>
    <row r="153" spans="1:22" ht="19.5" customHeight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</row>
    <row r="154" spans="1:22" ht="19.5" customHeight="1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</row>
    <row r="155" spans="1:22" ht="19.5" customHeight="1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</row>
    <row r="156" spans="1:22" ht="19.5" customHeight="1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</row>
    <row r="157" spans="1:22" ht="19.5" customHeight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</row>
    <row r="158" spans="1:22" ht="19.5" customHeight="1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</row>
    <row r="159" spans="1:22" ht="19.5" customHeight="1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</row>
    <row r="160" spans="1:22" ht="19.5" customHeight="1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</row>
    <row r="161" spans="1:22" ht="19.5" customHeight="1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</row>
    <row r="162" spans="1:22" ht="19.5" customHeight="1" x14ac:dyDescent="0.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</row>
    <row r="163" spans="1:22" ht="19.5" customHeight="1" x14ac:dyDescent="0.2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</row>
    <row r="164" spans="1:22" ht="19.5" customHeight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</row>
    <row r="165" spans="1:22" ht="19.5" customHeight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</row>
    <row r="166" spans="1:22" ht="19.5" customHeight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</row>
    <row r="167" spans="1:22" ht="19.5" customHeight="1" x14ac:dyDescent="0.2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</row>
    <row r="168" spans="1:22" ht="19.5" customHeight="1" x14ac:dyDescent="0.2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</row>
    <row r="169" spans="1:22" ht="19.5" customHeight="1" x14ac:dyDescent="0.2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</row>
    <row r="170" spans="1:22" ht="19.5" customHeight="1" x14ac:dyDescent="0.2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</row>
    <row r="171" spans="1:22" ht="19.5" customHeight="1" x14ac:dyDescent="0.2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</row>
    <row r="172" spans="1:22" ht="19.5" customHeight="1" x14ac:dyDescent="0.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</row>
    <row r="173" spans="1:22" ht="19.5" customHeight="1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</row>
    <row r="174" spans="1:22" ht="19.5" customHeigh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</row>
    <row r="175" spans="1:22" ht="19.5" customHeight="1" x14ac:dyDescent="0.2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</row>
    <row r="176" spans="1:22" ht="19.5" customHeight="1" x14ac:dyDescent="0.2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</row>
    <row r="177" spans="1:22" ht="19.5" customHeight="1" x14ac:dyDescent="0.2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</row>
    <row r="178" spans="1:22" ht="19.5" customHeight="1" x14ac:dyDescent="0.2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</row>
    <row r="179" spans="1:22" ht="19.5" customHeight="1" x14ac:dyDescent="0.2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</row>
    <row r="180" spans="1:22" ht="19.5" customHeight="1" x14ac:dyDescent="0.2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</row>
    <row r="181" spans="1:22" ht="19.5" customHeight="1" x14ac:dyDescent="0.2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</row>
    <row r="182" spans="1:22" ht="19.5" customHeight="1" x14ac:dyDescent="0.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</row>
    <row r="183" spans="1:22" ht="19.5" customHeight="1" x14ac:dyDescent="0.2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</row>
    <row r="184" spans="1:22" ht="19.5" customHeight="1" x14ac:dyDescent="0.2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</row>
    <row r="185" spans="1:22" ht="19.5" customHeight="1" x14ac:dyDescent="0.2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</row>
    <row r="186" spans="1:22" ht="19.5" customHeight="1" x14ac:dyDescent="0.2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</row>
    <row r="187" spans="1:22" ht="19.5" customHeight="1" x14ac:dyDescent="0.2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</row>
    <row r="188" spans="1:22" ht="19.5" customHeight="1" x14ac:dyDescent="0.2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</row>
    <row r="189" spans="1:22" ht="19.5" customHeight="1" x14ac:dyDescent="0.2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</row>
    <row r="190" spans="1:22" ht="19.5" customHeight="1" x14ac:dyDescent="0.2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</row>
    <row r="191" spans="1:22" ht="19.5" customHeight="1" x14ac:dyDescent="0.2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</row>
    <row r="192" spans="1:22" ht="19.5" customHeight="1" x14ac:dyDescent="0.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</row>
    <row r="193" spans="1:22" ht="19.5" customHeight="1" x14ac:dyDescent="0.2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</row>
    <row r="194" spans="1:22" ht="19.5" customHeight="1" x14ac:dyDescent="0.2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</row>
    <row r="195" spans="1:22" ht="19.5" customHeight="1" x14ac:dyDescent="0.2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</row>
    <row r="196" spans="1:22" ht="19.5" customHeight="1" x14ac:dyDescent="0.2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</row>
    <row r="197" spans="1:22" ht="19.5" customHeight="1" x14ac:dyDescent="0.2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</row>
    <row r="198" spans="1:22" ht="19.5" customHeight="1" x14ac:dyDescent="0.2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</row>
    <row r="199" spans="1:22" ht="19.5" customHeight="1" x14ac:dyDescent="0.2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</row>
    <row r="200" spans="1:22" ht="19.5" customHeight="1" x14ac:dyDescent="0.2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</row>
    <row r="201" spans="1:22" ht="19.5" customHeight="1" x14ac:dyDescent="0.2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</row>
    <row r="202" spans="1:22" ht="19.5" customHeight="1" x14ac:dyDescent="0.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</row>
    <row r="203" spans="1:22" ht="19.5" customHeight="1" x14ac:dyDescent="0.2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</row>
    <row r="204" spans="1:22" ht="19.5" customHeight="1" x14ac:dyDescent="0.2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</row>
    <row r="205" spans="1:22" ht="19.5" customHeight="1" x14ac:dyDescent="0.2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</row>
    <row r="206" spans="1:22" ht="19.5" customHeight="1" x14ac:dyDescent="0.2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</row>
    <row r="207" spans="1:22" ht="19.5" customHeight="1" x14ac:dyDescent="0.2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</row>
    <row r="208" spans="1:22" ht="19.5" customHeight="1" x14ac:dyDescent="0.2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</row>
    <row r="209" spans="1:22" ht="19.5" customHeight="1" x14ac:dyDescent="0.2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</row>
    <row r="210" spans="1:22" ht="19.5" customHeight="1" x14ac:dyDescent="0.2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</row>
    <row r="211" spans="1:22" ht="19.5" customHeight="1" x14ac:dyDescent="0.2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</row>
    <row r="212" spans="1:22" ht="19.5" customHeight="1" x14ac:dyDescent="0.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</row>
    <row r="213" spans="1:22" ht="19.5" customHeight="1" x14ac:dyDescent="0.2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</row>
    <row r="214" spans="1:22" ht="19.5" customHeight="1" x14ac:dyDescent="0.2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</row>
    <row r="215" spans="1:22" ht="19.5" customHeight="1" x14ac:dyDescent="0.2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</row>
    <row r="216" spans="1:22" ht="19.5" customHeight="1" x14ac:dyDescent="0.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</row>
    <row r="217" spans="1:22" ht="19.5" customHeight="1" x14ac:dyDescent="0.2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</row>
    <row r="218" spans="1:22" ht="19.5" customHeight="1" x14ac:dyDescent="0.2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</row>
    <row r="219" spans="1:22" ht="19.5" customHeight="1" x14ac:dyDescent="0.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</row>
    <row r="220" spans="1:22" ht="19.5" customHeight="1" x14ac:dyDescent="0.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</row>
    <row r="221" spans="1:22" ht="19.5" customHeight="1" x14ac:dyDescent="0.2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</row>
    <row r="222" spans="1:22" ht="19.5" customHeight="1" x14ac:dyDescent="0.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</row>
    <row r="223" spans="1:22" ht="19.5" customHeight="1" x14ac:dyDescent="0.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</row>
    <row r="224" spans="1:22" ht="19.5" customHeight="1" x14ac:dyDescent="0.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</row>
    <row r="225" spans="1:22" ht="19.5" customHeight="1" x14ac:dyDescent="0.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</row>
    <row r="226" spans="1:22" ht="19.5" customHeight="1" x14ac:dyDescent="0.2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</row>
    <row r="227" spans="1:22" ht="19.5" customHeight="1" x14ac:dyDescent="0.2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</row>
    <row r="228" spans="1:22" ht="19.5" customHeight="1" x14ac:dyDescent="0.2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</row>
    <row r="229" spans="1:22" ht="19.5" customHeight="1" x14ac:dyDescent="0.2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</row>
    <row r="230" spans="1:22" ht="19.5" customHeight="1" x14ac:dyDescent="0.2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</row>
    <row r="231" spans="1:22" ht="19.5" customHeight="1" x14ac:dyDescent="0.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</row>
    <row r="232" spans="1:22" ht="19.5" customHeight="1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</row>
    <row r="233" spans="1:22" ht="19.5" customHeight="1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</row>
    <row r="234" spans="1:22" ht="19.5" customHeight="1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</row>
    <row r="235" spans="1:22" ht="19.5" customHeight="1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</row>
    <row r="236" spans="1:22" ht="19.5" customHeight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</row>
    <row r="237" spans="1:22" ht="19.5" customHeight="1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</row>
    <row r="238" spans="1:22" ht="19.5" customHeight="1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</row>
    <row r="239" spans="1:22" ht="19.5" customHeight="1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</row>
    <row r="240" spans="1:22" ht="19.5" customHeight="1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</row>
    <row r="241" spans="1:22" ht="19.5" customHeight="1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</row>
    <row r="242" spans="1:22" ht="19.5" customHeight="1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</row>
    <row r="243" spans="1:22" ht="19.5" customHeight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</row>
    <row r="244" spans="1:22" ht="19.5" customHeight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</row>
    <row r="245" spans="1:22" ht="19.5" customHeight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</row>
    <row r="246" spans="1:22" ht="19.5" customHeight="1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</row>
    <row r="247" spans="1:22" ht="19.5" customHeight="1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</row>
    <row r="248" spans="1:22" ht="19.5" customHeight="1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</row>
    <row r="249" spans="1:22" ht="19.5" customHeight="1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</row>
    <row r="250" spans="1:22" ht="19.5" customHeight="1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</row>
    <row r="251" spans="1:22" ht="19.5" customHeight="1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</row>
    <row r="252" spans="1:22" ht="19.5" customHeight="1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</row>
    <row r="253" spans="1:22" ht="19.5" customHeight="1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</row>
    <row r="254" spans="1:22" ht="19.5" customHeight="1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</row>
    <row r="255" spans="1:22" ht="19.5" customHeight="1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</row>
    <row r="256" spans="1:22" ht="19.5" customHeight="1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</row>
    <row r="257" spans="1:22" ht="19.5" customHeight="1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</row>
    <row r="258" spans="1:22" ht="19.5" customHeight="1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</row>
    <row r="259" spans="1:22" ht="19.5" customHeight="1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</row>
    <row r="260" spans="1:22" ht="19.5" customHeight="1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</row>
    <row r="261" spans="1:22" ht="19.5" customHeight="1" x14ac:dyDescent="0.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</row>
    <row r="262" spans="1:22" ht="19.5" customHeight="1" x14ac:dyDescent="0.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</row>
    <row r="263" spans="1:22" ht="19.5" customHeight="1" x14ac:dyDescent="0.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</row>
    <row r="264" spans="1:22" ht="19.5" customHeight="1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</row>
    <row r="265" spans="1:22" ht="19.5" customHeight="1" x14ac:dyDescent="0.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</row>
    <row r="266" spans="1:22" ht="19.5" customHeight="1" x14ac:dyDescent="0.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</row>
    <row r="267" spans="1:22" ht="19.5" customHeight="1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</row>
    <row r="268" spans="1:22" ht="19.5" customHeight="1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</row>
    <row r="269" spans="1:22" ht="19.5" customHeight="1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</row>
    <row r="270" spans="1:22" ht="19.5" customHeight="1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</row>
    <row r="271" spans="1:22" ht="19.5" customHeight="1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</row>
    <row r="272" spans="1:22" ht="19.5" customHeight="1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</row>
    <row r="273" spans="1:22" ht="19.5" customHeight="1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</row>
    <row r="274" spans="1:22" ht="19.5" customHeight="1" x14ac:dyDescent="0.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</row>
    <row r="275" spans="1:22" ht="19.5" customHeight="1" x14ac:dyDescent="0.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</row>
    <row r="276" spans="1:22" ht="19.5" customHeight="1" x14ac:dyDescent="0.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</row>
    <row r="277" spans="1:22" ht="19.5" customHeight="1" x14ac:dyDescent="0.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</row>
    <row r="278" spans="1:22" ht="19.5" customHeight="1" x14ac:dyDescent="0.2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</row>
    <row r="279" spans="1:22" ht="19.5" customHeight="1" x14ac:dyDescent="0.2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</row>
    <row r="280" spans="1:22" ht="19.5" customHeight="1" x14ac:dyDescent="0.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</row>
    <row r="281" spans="1:22" ht="19.5" customHeight="1" x14ac:dyDescent="0.2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</row>
    <row r="282" spans="1:22" ht="19.5" customHeight="1" x14ac:dyDescent="0.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</row>
    <row r="283" spans="1:22" ht="19.5" customHeight="1" x14ac:dyDescent="0.2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</row>
    <row r="284" spans="1:22" ht="19.5" customHeight="1" x14ac:dyDescent="0.2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</row>
    <row r="285" spans="1:22" ht="19.5" customHeight="1" x14ac:dyDescent="0.2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</row>
    <row r="286" spans="1:22" ht="19.5" customHeight="1" x14ac:dyDescent="0.2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</row>
    <row r="287" spans="1:22" ht="19.5" customHeight="1" x14ac:dyDescent="0.2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</row>
    <row r="288" spans="1:22" ht="19.5" customHeight="1" x14ac:dyDescent="0.2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</row>
    <row r="289" spans="1:22" ht="19.5" customHeight="1" x14ac:dyDescent="0.2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</row>
    <row r="290" spans="1:22" ht="15.75" customHeight="1" x14ac:dyDescent="0.2"/>
    <row r="291" spans="1:22" ht="15.75" customHeight="1" x14ac:dyDescent="0.2"/>
    <row r="292" spans="1:22" ht="15.75" customHeight="1" x14ac:dyDescent="0.2"/>
    <row r="293" spans="1:22" ht="15.75" customHeight="1" x14ac:dyDescent="0.2"/>
    <row r="294" spans="1:22" ht="15.75" customHeight="1" x14ac:dyDescent="0.2"/>
    <row r="295" spans="1:22" ht="15.75" customHeight="1" x14ac:dyDescent="0.2"/>
    <row r="296" spans="1:22" ht="15.75" customHeight="1" x14ac:dyDescent="0.2"/>
    <row r="297" spans="1:22" ht="15.75" customHeight="1" x14ac:dyDescent="0.2"/>
    <row r="298" spans="1:22" ht="15.75" customHeight="1" x14ac:dyDescent="0.2"/>
    <row r="299" spans="1:22" ht="15.75" customHeight="1" x14ac:dyDescent="0.2"/>
    <row r="300" spans="1:22" ht="15.75" customHeight="1" x14ac:dyDescent="0.2"/>
    <row r="301" spans="1:22" ht="15.75" customHeight="1" x14ac:dyDescent="0.2"/>
    <row r="302" spans="1:22" ht="15.75" customHeight="1" x14ac:dyDescent="0.2"/>
    <row r="303" spans="1:22" ht="15.75" customHeight="1" x14ac:dyDescent="0.2"/>
    <row r="304" spans="1:22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2.5703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1" width="9.140625" customWidth="1"/>
    <col min="22" max="26" width="14.42578125" customWidth="1"/>
  </cols>
  <sheetData>
    <row r="1" spans="1:21" ht="12.75" customHeight="1" x14ac:dyDescent="0.25">
      <c r="A1" s="243" t="s">
        <v>251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2.75" customHeight="1" x14ac:dyDescent="0.2">
      <c r="A2" s="244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2.75" customHeight="1" x14ac:dyDescent="0.2">
      <c r="A3" s="244" t="s">
        <v>252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12.75" customHeight="1" x14ac:dyDescent="0.2">
      <c r="A4" s="2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2.75" customHeight="1" x14ac:dyDescent="0.2">
      <c r="A5" s="244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6" spans="1:21" ht="12.75" customHeight="1" x14ac:dyDescent="0.2">
      <c r="A6" s="244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12.75" customHeight="1" x14ac:dyDescent="0.2">
      <c r="A7" s="244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1" ht="12.75" customHeight="1" x14ac:dyDescent="0.2">
      <c r="A8" s="244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2.75" customHeight="1" x14ac:dyDescent="0.2">
      <c r="A9" s="244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2.75" customHeight="1" x14ac:dyDescent="0.2">
      <c r="A10" s="244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ht="12.75" customHeight="1" x14ac:dyDescent="0.2">
      <c r="A11" s="244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ht="12.75" customHeight="1" x14ac:dyDescent="0.35">
      <c r="A12" s="245" t="s">
        <v>253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1:21" ht="12.75" customHeight="1" x14ac:dyDescent="0.2">
      <c r="A13" s="245" t="s">
        <v>254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pans="1:21" ht="12.75" customHeight="1" x14ac:dyDescent="0.2">
      <c r="A14" s="245" t="s">
        <v>255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ht="12.75" customHeight="1" x14ac:dyDescent="0.35">
      <c r="A15" s="245" t="s">
        <v>256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ht="12.75" customHeight="1" x14ac:dyDescent="0.35">
      <c r="A16" s="245" t="s">
        <v>257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ht="12.75" customHeight="1" x14ac:dyDescent="0.2">
      <c r="A17" s="246" t="s">
        <v>258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</row>
    <row r="18" spans="1:21" ht="12.75" customHeigh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ht="12.75" customHeight="1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2.75" customHeight="1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</row>
    <row r="21" spans="1:21" ht="12.75" customHeight="1" x14ac:dyDescent="0.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</row>
    <row r="22" spans="1:21" ht="12.75" customHeight="1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ht="12.75" customHeight="1" x14ac:dyDescent="0.2">
      <c r="A23" s="141"/>
      <c r="B23" s="141"/>
      <c r="C23" s="141"/>
      <c r="D23" s="141"/>
      <c r="E23" s="185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21" ht="12.75" customHeight="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</row>
    <row r="25" spans="1:21" ht="12.75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ht="12.75" customHeight="1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1:21" ht="12.75" customHeight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</row>
    <row r="28" spans="1:21" ht="12.75" customHeight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</row>
    <row r="29" spans="1:21" ht="12.75" customHeigh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</row>
    <row r="30" spans="1:21" ht="12.75" customHeight="1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</row>
    <row r="31" spans="1:21" ht="12.75" customHeight="1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21" ht="12.75" customHeight="1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</row>
    <row r="33" spans="1:21" ht="12.75" customHeight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2.75" customHeight="1" x14ac:dyDescent="0.2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12.75" customHeight="1" x14ac:dyDescent="0.2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6" spans="1:21" ht="12.75" customHeight="1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</row>
    <row r="37" spans="1:21" ht="12.75" customHeight="1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2.75" customHeight="1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:21" ht="12.75" customHeight="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2.75" customHeight="1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2.75" customHeight="1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 ht="12.75" customHeight="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:21" ht="12.75" customHeight="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ht="12.75" customHeight="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:21" ht="12.75" customHeight="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21" ht="12.75" customHeight="1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:21" ht="12.75" customHeight="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:21" ht="12.75" customHeight="1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ht="12.75" customHeight="1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:21" ht="12.75" customHeight="1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  <row r="51" spans="1:21" ht="12.75" customHeight="1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1:21" ht="12.75" customHeight="1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1:21" ht="12.75" customHeight="1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</row>
    <row r="54" spans="1:21" ht="12.75" customHeight="1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</row>
    <row r="55" spans="1:21" ht="12.7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</row>
    <row r="56" spans="1:21" ht="12.75" customHeight="1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ht="12.75" customHeight="1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</row>
    <row r="58" spans="1:21" ht="12.75" customHeight="1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</row>
    <row r="59" spans="1:21" ht="12.75" customHeight="1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</row>
    <row r="60" spans="1:21" ht="12.7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1:21" ht="12.7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 ht="12.75" customHeight="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</row>
    <row r="63" spans="1:21" ht="12.7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ht="12.75" customHeight="1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ht="12.7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</row>
    <row r="66" spans="1:21" ht="12.75" customHeight="1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ht="12.7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1:21" ht="12.75" customHeight="1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1:21" ht="12.7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:21" ht="12.75" customHeight="1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:21" ht="12.7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:21" ht="12.75" customHeight="1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:21" ht="12.7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1:21" ht="12.75" customHeight="1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1:21" ht="12.75" customHeight="1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1:21" ht="12.7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1:21" ht="12.75" customHeight="1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:21" ht="12.7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:21" ht="12.75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:21" ht="12.75" customHeight="1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  <row r="81" spans="1:21" ht="12.75" customHeight="1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1:21" ht="12.75" customHeight="1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</row>
    <row r="83" spans="1:21" ht="12.75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</row>
    <row r="84" spans="1:21" ht="12.75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</row>
    <row r="85" spans="1:21" ht="12.75" customHeight="1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</row>
    <row r="86" spans="1:21" ht="12.75" customHeight="1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</row>
    <row r="87" spans="1:21" ht="12.75" customHeight="1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</row>
    <row r="88" spans="1:21" ht="12.75" customHeight="1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</row>
    <row r="89" spans="1:21" ht="12.75" customHeight="1" x14ac:dyDescent="0.2">
      <c r="A89" s="141" t="s">
        <v>197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</row>
    <row r="90" spans="1:21" ht="12.75" customHeight="1" x14ac:dyDescent="0.2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1:21" ht="12.75" customHeight="1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</row>
    <row r="92" spans="1:21" ht="12.75" customHeight="1" x14ac:dyDescent="0.2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</row>
    <row r="93" spans="1:21" ht="12.75" customHeight="1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</row>
    <row r="94" spans="1:21" ht="12.75" customHeight="1" x14ac:dyDescent="0.2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</row>
    <row r="95" spans="1:21" ht="12.75" customHeight="1" x14ac:dyDescent="0.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1" ht="12.75" customHeight="1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</row>
    <row r="97" spans="1:21" ht="12.75" customHeight="1" x14ac:dyDescent="0.2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1" ht="12.75" customHeight="1" x14ac:dyDescent="0.2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1" ht="12.75" customHeight="1" x14ac:dyDescent="0.2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1" ht="12.75" customHeight="1" x14ac:dyDescent="0.2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ht="12.75" customHeight="1" x14ac:dyDescent="0.2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1" ht="12.75" customHeight="1" x14ac:dyDescent="0.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</row>
    <row r="103" spans="1:21" ht="12.75" customHeight="1" x14ac:dyDescent="0.2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ht="12.75" customHeight="1" x14ac:dyDescent="0.2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ht="12.75" customHeight="1" x14ac:dyDescent="0.2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1" ht="12.75" customHeight="1" x14ac:dyDescent="0.2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1" ht="12.75" customHeight="1" x14ac:dyDescent="0.2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</row>
    <row r="108" spans="1:21" ht="12.75" customHeight="1" x14ac:dyDescent="0.2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</row>
    <row r="109" spans="1:21" ht="12.75" customHeight="1" x14ac:dyDescent="0.2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</row>
    <row r="110" spans="1:21" ht="12.75" customHeight="1" x14ac:dyDescent="0.2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12.75" customHeight="1" x14ac:dyDescent="0.2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</row>
    <row r="112" spans="1:21" ht="12.75" customHeight="1" x14ac:dyDescent="0.2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</row>
    <row r="113" spans="1:21" ht="12.75" customHeight="1" x14ac:dyDescent="0.2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</row>
    <row r="114" spans="1:21" ht="12.75" customHeigh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</row>
    <row r="115" spans="1:21" ht="12.75" customHeight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</row>
    <row r="116" spans="1:21" ht="12.75" customHeight="1" x14ac:dyDescent="0.2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</row>
    <row r="117" spans="1:21" ht="12.75" customHeight="1" x14ac:dyDescent="0.2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</row>
    <row r="118" spans="1:21" ht="12.75" customHeight="1" x14ac:dyDescent="0.2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</row>
    <row r="119" spans="1:21" ht="12.75" customHeight="1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</row>
    <row r="120" spans="1:21" ht="12.75" customHeight="1" x14ac:dyDescent="0.2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</row>
    <row r="121" spans="1:21" ht="12.75" customHeight="1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</row>
    <row r="122" spans="1:21" ht="12.75" customHeight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</row>
    <row r="123" spans="1:21" ht="12.75" customHeight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</row>
    <row r="124" spans="1:21" ht="12.75" customHeigh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</row>
    <row r="125" spans="1:21" ht="12.75" customHeight="1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</row>
    <row r="126" spans="1:21" ht="12.75" customHeight="1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</row>
    <row r="127" spans="1:21" ht="12.75" customHeight="1" x14ac:dyDescent="0.2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</row>
    <row r="128" spans="1:21" ht="12.75" customHeight="1" x14ac:dyDescent="0.2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</row>
    <row r="129" spans="1:21" ht="12.75" customHeight="1" x14ac:dyDescent="0.2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</row>
    <row r="130" spans="1:21" ht="12.75" customHeight="1" x14ac:dyDescent="0.2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</row>
    <row r="131" spans="1:21" ht="12.75" customHeight="1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</row>
    <row r="132" spans="1:21" ht="12.75" customHeight="1" x14ac:dyDescent="0.2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</row>
    <row r="133" spans="1:21" ht="12.75" customHeight="1" x14ac:dyDescent="0.2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</row>
    <row r="134" spans="1:21" ht="12.75" customHeight="1" x14ac:dyDescent="0.2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</row>
    <row r="135" spans="1:21" ht="12.75" customHeight="1" x14ac:dyDescent="0.2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</row>
    <row r="136" spans="1:21" ht="12.75" customHeight="1" x14ac:dyDescent="0.2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</row>
    <row r="137" spans="1:21" ht="12.75" customHeight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</row>
    <row r="138" spans="1:21" ht="12.75" customHeight="1" x14ac:dyDescent="0.2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</row>
    <row r="139" spans="1:21" ht="12.75" customHeight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</row>
    <row r="140" spans="1:21" ht="12.75" customHeight="1" x14ac:dyDescent="0.2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</row>
    <row r="141" spans="1:21" ht="12.75" customHeight="1" x14ac:dyDescent="0.2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</row>
    <row r="142" spans="1:21" ht="12.75" customHeight="1" x14ac:dyDescent="0.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</row>
    <row r="143" spans="1:21" ht="12.75" customHeight="1" x14ac:dyDescent="0.2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</row>
    <row r="144" spans="1:21" ht="12.75" customHeight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</row>
    <row r="145" spans="1:21" ht="12.75" customHeight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</row>
    <row r="146" spans="1:21" ht="12.75" customHeigh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</row>
    <row r="147" spans="1:21" ht="12.75" customHeigh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</row>
    <row r="148" spans="1:21" ht="12.75" customHeight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</row>
    <row r="149" spans="1:21" ht="12.75" customHeight="1" x14ac:dyDescent="0.2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</row>
    <row r="150" spans="1:21" ht="12.75" customHeigh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</row>
    <row r="151" spans="1:21" ht="12.75" customHeight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</row>
    <row r="152" spans="1:21" ht="12.75" customHeigh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</row>
    <row r="153" spans="1:21" ht="12.75" customHeight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</row>
    <row r="154" spans="1:21" ht="12.75" customHeight="1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</row>
    <row r="155" spans="1:21" ht="12.75" customHeight="1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</row>
    <row r="156" spans="1:21" ht="12.75" customHeight="1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</row>
    <row r="157" spans="1:21" ht="12.75" customHeight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</row>
    <row r="158" spans="1:21" ht="12.75" customHeight="1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</row>
    <row r="159" spans="1:21" ht="12.75" customHeight="1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</row>
    <row r="160" spans="1:21" ht="12.75" customHeight="1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1" ht="12.75" customHeight="1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</row>
    <row r="162" spans="1:21" ht="12.75" customHeight="1" x14ac:dyDescent="0.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</row>
    <row r="163" spans="1:21" ht="12.75" customHeight="1" x14ac:dyDescent="0.2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</row>
    <row r="164" spans="1:21" ht="12.75" customHeight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</row>
    <row r="165" spans="1:21" ht="12.75" customHeight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</row>
    <row r="166" spans="1:21" ht="12.75" customHeight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</row>
    <row r="167" spans="1:21" ht="12.75" customHeight="1" x14ac:dyDescent="0.2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</row>
    <row r="168" spans="1:21" ht="12.75" customHeight="1" x14ac:dyDescent="0.2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</row>
    <row r="169" spans="1:21" ht="12.75" customHeight="1" x14ac:dyDescent="0.2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</row>
    <row r="170" spans="1:21" ht="12.75" customHeight="1" x14ac:dyDescent="0.2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</row>
    <row r="171" spans="1:21" ht="12.75" customHeight="1" x14ac:dyDescent="0.2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</row>
    <row r="172" spans="1:21" ht="12.75" customHeight="1" x14ac:dyDescent="0.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</row>
    <row r="173" spans="1:21" ht="12.75" customHeight="1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</row>
    <row r="174" spans="1:21" ht="12.75" customHeigh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</row>
    <row r="175" spans="1:21" ht="12.75" customHeight="1" x14ac:dyDescent="0.2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</row>
    <row r="176" spans="1:21" ht="12.75" customHeight="1" x14ac:dyDescent="0.2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</row>
    <row r="177" spans="1:21" ht="12.75" customHeight="1" x14ac:dyDescent="0.2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</row>
    <row r="178" spans="1:21" ht="12.75" customHeight="1" x14ac:dyDescent="0.2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</row>
    <row r="179" spans="1:21" ht="12.75" customHeight="1" x14ac:dyDescent="0.2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</row>
    <row r="180" spans="1:21" ht="12.75" customHeight="1" x14ac:dyDescent="0.2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</row>
    <row r="181" spans="1:21" ht="12.75" customHeight="1" x14ac:dyDescent="0.2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</row>
    <row r="182" spans="1:21" ht="12.75" customHeight="1" x14ac:dyDescent="0.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</row>
    <row r="183" spans="1:21" ht="12.75" customHeight="1" x14ac:dyDescent="0.2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</row>
    <row r="184" spans="1:21" ht="12.75" customHeight="1" x14ac:dyDescent="0.2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</row>
    <row r="185" spans="1:21" ht="12.75" customHeight="1" x14ac:dyDescent="0.2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</row>
    <row r="186" spans="1:21" ht="12.75" customHeight="1" x14ac:dyDescent="0.2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</row>
    <row r="187" spans="1:21" ht="12.75" customHeight="1" x14ac:dyDescent="0.2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</row>
    <row r="188" spans="1:21" ht="12.75" customHeight="1" x14ac:dyDescent="0.2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</row>
    <row r="189" spans="1:21" ht="12.75" customHeight="1" x14ac:dyDescent="0.2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</row>
    <row r="190" spans="1:21" ht="12.75" customHeight="1" x14ac:dyDescent="0.2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</row>
    <row r="191" spans="1:21" ht="12.75" customHeight="1" x14ac:dyDescent="0.2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</row>
    <row r="192" spans="1:21" ht="12.75" customHeight="1" x14ac:dyDescent="0.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</row>
    <row r="193" spans="1:21" ht="12.75" customHeight="1" x14ac:dyDescent="0.2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</row>
    <row r="194" spans="1:21" ht="12.75" customHeight="1" x14ac:dyDescent="0.2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</row>
    <row r="195" spans="1:21" ht="12.75" customHeight="1" x14ac:dyDescent="0.2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</row>
    <row r="196" spans="1:21" ht="12.75" customHeight="1" x14ac:dyDescent="0.2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</row>
    <row r="197" spans="1:21" ht="12.75" customHeight="1" x14ac:dyDescent="0.2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</row>
    <row r="198" spans="1:21" ht="12.75" customHeight="1" x14ac:dyDescent="0.2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</row>
    <row r="199" spans="1:21" ht="12.75" customHeight="1" x14ac:dyDescent="0.2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</row>
    <row r="200" spans="1:21" ht="12.75" customHeight="1" x14ac:dyDescent="0.2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</row>
    <row r="201" spans="1:21" ht="12.75" customHeight="1" x14ac:dyDescent="0.2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</row>
    <row r="202" spans="1:21" ht="12.75" customHeight="1" x14ac:dyDescent="0.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</row>
    <row r="203" spans="1:21" ht="12.75" customHeight="1" x14ac:dyDescent="0.2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</row>
    <row r="204" spans="1:21" ht="12.75" customHeight="1" x14ac:dyDescent="0.2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</row>
    <row r="205" spans="1:21" ht="12.75" customHeight="1" x14ac:dyDescent="0.2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</row>
    <row r="206" spans="1:21" ht="12.75" customHeight="1" x14ac:dyDescent="0.2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</row>
    <row r="207" spans="1:21" ht="12.75" customHeight="1" x14ac:dyDescent="0.2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</row>
    <row r="208" spans="1:21" ht="12.75" customHeight="1" x14ac:dyDescent="0.2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</row>
    <row r="209" spans="1:21" ht="12.75" customHeight="1" x14ac:dyDescent="0.2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</row>
    <row r="210" spans="1:21" ht="12.75" customHeight="1" x14ac:dyDescent="0.2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</row>
    <row r="211" spans="1:21" ht="12.75" customHeight="1" x14ac:dyDescent="0.2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</row>
    <row r="212" spans="1:21" ht="12.75" customHeight="1" x14ac:dyDescent="0.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</row>
    <row r="213" spans="1:21" ht="12.75" customHeight="1" x14ac:dyDescent="0.2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</row>
    <row r="214" spans="1:21" ht="12.75" customHeight="1" x14ac:dyDescent="0.2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</row>
    <row r="215" spans="1:21" ht="12.75" customHeight="1" x14ac:dyDescent="0.2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</row>
    <row r="216" spans="1:21" ht="12.75" customHeight="1" x14ac:dyDescent="0.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</row>
    <row r="217" spans="1:21" ht="12.75" customHeight="1" x14ac:dyDescent="0.2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</row>
    <row r="218" spans="1:21" ht="12.75" customHeight="1" x14ac:dyDescent="0.2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</row>
    <row r="219" spans="1:21" ht="12.75" customHeight="1" x14ac:dyDescent="0.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</row>
    <row r="220" spans="1:21" ht="12.75" customHeight="1" x14ac:dyDescent="0.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</row>
    <row r="221" spans="1:21" ht="12.75" customHeight="1" x14ac:dyDescent="0.2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</row>
    <row r="222" spans="1:21" ht="12.75" customHeight="1" x14ac:dyDescent="0.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</row>
    <row r="223" spans="1:21" ht="12.75" customHeight="1" x14ac:dyDescent="0.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</row>
    <row r="224" spans="1:21" ht="12.75" customHeight="1" x14ac:dyDescent="0.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</row>
    <row r="225" spans="1:21" ht="12.75" customHeight="1" x14ac:dyDescent="0.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</row>
    <row r="226" spans="1:21" ht="12.75" customHeight="1" x14ac:dyDescent="0.2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</row>
    <row r="227" spans="1:21" ht="12.75" customHeight="1" x14ac:dyDescent="0.2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</row>
    <row r="228" spans="1:21" ht="12.75" customHeight="1" x14ac:dyDescent="0.2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</row>
    <row r="229" spans="1:21" ht="12.75" customHeight="1" x14ac:dyDescent="0.2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</row>
    <row r="230" spans="1:21" ht="12.75" customHeight="1" x14ac:dyDescent="0.2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</row>
    <row r="231" spans="1:21" ht="12.75" customHeight="1" x14ac:dyDescent="0.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</row>
    <row r="232" spans="1:21" ht="12.75" customHeight="1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</row>
    <row r="233" spans="1:21" ht="12.75" customHeight="1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</row>
    <row r="234" spans="1:21" ht="12.75" customHeight="1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</row>
    <row r="235" spans="1:21" ht="12.75" customHeight="1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</row>
    <row r="236" spans="1:21" ht="12.75" customHeight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</row>
    <row r="237" spans="1:21" ht="12.75" customHeight="1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</row>
    <row r="238" spans="1:21" ht="12.75" customHeight="1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</row>
    <row r="239" spans="1:21" ht="12.75" customHeight="1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</row>
    <row r="240" spans="1:21" ht="12.75" customHeight="1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</row>
    <row r="241" spans="1:21" ht="12.75" customHeight="1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</row>
    <row r="242" spans="1:21" ht="12.75" customHeight="1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</row>
    <row r="243" spans="1:21" ht="12.75" customHeight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</row>
    <row r="244" spans="1:21" ht="12.75" customHeight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</row>
    <row r="245" spans="1:21" ht="12.75" customHeight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</row>
    <row r="246" spans="1:21" ht="12.75" customHeight="1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</row>
    <row r="247" spans="1:21" ht="12.75" customHeight="1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</row>
    <row r="248" spans="1:21" ht="12.75" customHeight="1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</row>
    <row r="249" spans="1:21" ht="12.75" customHeight="1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</row>
    <row r="250" spans="1:21" ht="12.75" customHeight="1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</row>
    <row r="251" spans="1:21" ht="12.75" customHeight="1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</row>
    <row r="252" spans="1:21" ht="12.75" customHeight="1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</row>
    <row r="253" spans="1:21" ht="12.75" customHeight="1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</row>
    <row r="254" spans="1:21" ht="12.75" customHeight="1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</row>
    <row r="255" spans="1:21" ht="12.75" customHeight="1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</row>
    <row r="256" spans="1:21" ht="12.75" customHeight="1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</row>
    <row r="257" spans="1:21" ht="12.75" customHeight="1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</row>
    <row r="258" spans="1:21" ht="12.75" customHeight="1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</row>
    <row r="259" spans="1:21" ht="12.75" customHeight="1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</row>
    <row r="260" spans="1:21" ht="12.75" customHeight="1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</row>
    <row r="261" spans="1:21" ht="12.75" customHeight="1" x14ac:dyDescent="0.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</row>
    <row r="262" spans="1:21" ht="12.75" customHeight="1" x14ac:dyDescent="0.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</row>
    <row r="263" spans="1:21" ht="12.75" customHeight="1" x14ac:dyDescent="0.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</row>
    <row r="264" spans="1:21" ht="12.75" customHeight="1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</row>
    <row r="265" spans="1:21" ht="12.75" customHeight="1" x14ac:dyDescent="0.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</row>
    <row r="266" spans="1:21" ht="12.75" customHeight="1" x14ac:dyDescent="0.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</row>
    <row r="267" spans="1:21" ht="12.75" customHeight="1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</row>
    <row r="268" spans="1:21" ht="12.75" customHeight="1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</row>
    <row r="269" spans="1:21" ht="12.75" customHeight="1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</row>
    <row r="270" spans="1:21" ht="12.75" customHeight="1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</row>
    <row r="271" spans="1:21" ht="12.75" customHeight="1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</row>
    <row r="272" spans="1:21" ht="12.75" customHeight="1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</row>
    <row r="273" spans="1:21" ht="12.75" customHeight="1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</row>
    <row r="274" spans="1:21" ht="12.75" customHeight="1" x14ac:dyDescent="0.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</row>
    <row r="275" spans="1:21" ht="12.75" customHeight="1" x14ac:dyDescent="0.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</row>
    <row r="276" spans="1:21" ht="12.75" customHeight="1" x14ac:dyDescent="0.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</row>
    <row r="277" spans="1:21" ht="12.75" customHeight="1" x14ac:dyDescent="0.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</row>
    <row r="278" spans="1:21" ht="12.75" customHeight="1" x14ac:dyDescent="0.2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</row>
    <row r="279" spans="1:21" ht="12.75" customHeight="1" x14ac:dyDescent="0.2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</row>
    <row r="280" spans="1:21" ht="12.75" customHeight="1" x14ac:dyDescent="0.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</row>
    <row r="281" spans="1:21" ht="12.75" customHeight="1" x14ac:dyDescent="0.2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</row>
    <row r="282" spans="1:21" ht="12.75" customHeight="1" x14ac:dyDescent="0.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</row>
    <row r="283" spans="1:21" ht="12.75" customHeight="1" x14ac:dyDescent="0.2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</row>
    <row r="284" spans="1:21" ht="12.75" customHeight="1" x14ac:dyDescent="0.2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</row>
    <row r="285" spans="1:21" ht="12.75" customHeight="1" x14ac:dyDescent="0.2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</row>
    <row r="286" spans="1:21" ht="12.75" customHeight="1" x14ac:dyDescent="0.2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</row>
    <row r="287" spans="1:21" ht="12.75" customHeight="1" x14ac:dyDescent="0.2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</row>
    <row r="288" spans="1:21" ht="12.75" customHeight="1" x14ac:dyDescent="0.2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</row>
    <row r="289" spans="1:21" ht="12.75" customHeight="1" x14ac:dyDescent="0.2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</row>
    <row r="290" spans="1:21" ht="15.75" customHeight="1" x14ac:dyDescent="0.2"/>
    <row r="291" spans="1:21" ht="15.75" customHeight="1" x14ac:dyDescent="0.2"/>
    <row r="292" spans="1:21" ht="15.75" customHeight="1" x14ac:dyDescent="0.2"/>
    <row r="293" spans="1:21" ht="15.75" customHeight="1" x14ac:dyDescent="0.2"/>
    <row r="294" spans="1:21" ht="15.75" customHeight="1" x14ac:dyDescent="0.2"/>
    <row r="295" spans="1:21" ht="15.75" customHeight="1" x14ac:dyDescent="0.2"/>
    <row r="296" spans="1:21" ht="15.75" customHeight="1" x14ac:dyDescent="0.2"/>
    <row r="297" spans="1:21" ht="15.75" customHeight="1" x14ac:dyDescent="0.2"/>
    <row r="298" spans="1:21" ht="15.75" customHeight="1" x14ac:dyDescent="0.2"/>
    <row r="299" spans="1:21" ht="15.75" customHeight="1" x14ac:dyDescent="0.2"/>
    <row r="300" spans="1:21" ht="15.75" customHeight="1" x14ac:dyDescent="0.2"/>
    <row r="301" spans="1:21" ht="15.75" customHeight="1" x14ac:dyDescent="0.2"/>
    <row r="302" spans="1:21" ht="15.75" customHeight="1" x14ac:dyDescent="0.2"/>
    <row r="303" spans="1:21" ht="15.75" customHeight="1" x14ac:dyDescent="0.2"/>
    <row r="304" spans="1:2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Retroescavadeira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Usuário</cp:lastModifiedBy>
  <dcterms:created xsi:type="dcterms:W3CDTF">2000-12-13T10:02:50Z</dcterms:created>
  <dcterms:modified xsi:type="dcterms:W3CDTF">2023-07-20T18:57:20Z</dcterms:modified>
</cp:coreProperties>
</file>