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5285" windowHeight="3960" activeTab="0"/>
  </bookViews>
  <sheets>
    <sheet name="Planilha" sheetId="1" r:id="rId1"/>
    <sheet name="Inform." sheetId="2" state="hidden" r:id="rId2"/>
    <sheet name="Plan3" sheetId="3" r:id="rId3"/>
    <sheet name="Plan1" sheetId="4" r:id="rId4"/>
  </sheets>
  <definedNames/>
  <calcPr fullCalcOnLoad="1"/>
</workbook>
</file>

<file path=xl/sharedStrings.xml><?xml version="1.0" encoding="utf-8"?>
<sst xmlns="http://schemas.openxmlformats.org/spreadsheetml/2006/main" count="399" uniqueCount="314">
  <si>
    <r>
      <rPr>
        <sz val="8"/>
        <color indexed="8"/>
        <rFont val="Arial"/>
        <family val="2"/>
      </rPr>
      <t>Preço de um litro de óleo diesel</t>
    </r>
  </si>
  <si>
    <t>Preço de um litro de óleo de motor</t>
  </si>
  <si>
    <r>
      <rPr>
        <sz val="8"/>
        <color indexed="8"/>
        <rFont val="Arial"/>
        <family val="2"/>
      </rPr>
      <t>Preço de um litro de óleo de caixa</t>
    </r>
  </si>
  <si>
    <r>
      <rPr>
        <sz val="8"/>
        <color indexed="8"/>
        <rFont val="Arial"/>
        <family val="2"/>
      </rPr>
      <t>Preço de um litro de óleo do diferencial</t>
    </r>
  </si>
  <si>
    <r>
      <rPr>
        <sz val="8"/>
        <color indexed="8"/>
        <rFont val="Arial"/>
        <family val="2"/>
      </rPr>
      <t>Preço de um litro de fluido de freio</t>
    </r>
  </si>
  <si>
    <r>
      <rPr>
        <sz val="8"/>
        <color indexed="8"/>
        <rFont val="Arial"/>
        <family val="2"/>
      </rPr>
      <t>Salário mensal médio de um motorista</t>
    </r>
  </si>
  <si>
    <r>
      <rPr>
        <sz val="8"/>
        <color indexed="8"/>
        <rFont val="Arial"/>
        <family val="2"/>
      </rPr>
      <t>Salário mensal médio de um cobrador</t>
    </r>
  </si>
  <si>
    <r>
      <rPr>
        <sz val="8"/>
        <color indexed="8"/>
        <rFont val="Arial"/>
        <family val="2"/>
      </rPr>
      <t>Salário mensal médio de um fiscal</t>
    </r>
  </si>
  <si>
    <t>Encargos Sociais</t>
  </si>
  <si>
    <t>A</t>
  </si>
  <si>
    <t>INSS.20%, Ac.Trab.3%, Sal.Ed.2,5%, INCRA.0,2%, SENAT.1%, SEST.1,5%, SEBRAE.0,6%, FGTS.8,5%</t>
  </si>
  <si>
    <t>B</t>
  </si>
  <si>
    <t>Ab.Férias.2,78%, Av.Prév.Trab.0,11%, Lic.Patern.0,04%, Lic.Funer.0,01%, Lic.Casam.0,02%, 13.°.8,33%</t>
  </si>
  <si>
    <t>C</t>
  </si>
  <si>
    <t>Multa s/FGTS.3,63%, Av.Prévio Ñ Trab.3,6%, Demis.Mês Negoc.Sal.0,30%</t>
  </si>
  <si>
    <t>D</t>
  </si>
  <si>
    <t>Vale Alim.8,8%, Cesta Bás.1,7%, Conv.Méd.8,5%, Uniforme 0,8%, Cursos 2%</t>
  </si>
  <si>
    <r>
      <rPr>
        <sz val="8"/>
        <color indexed="8"/>
        <rFont val="Arial"/>
        <family val="2"/>
      </rPr>
      <t>Valor Médio Unitário Seguro - DPVAT</t>
    </r>
  </si>
  <si>
    <r>
      <rPr>
        <sz val="8"/>
        <color indexed="8"/>
        <rFont val="Arial"/>
        <family val="2"/>
      </rPr>
      <t xml:space="preserve">Premio Seguro de Passageiro p/ônibus/mês </t>
    </r>
  </si>
  <si>
    <r>
      <rPr>
        <sz val="8"/>
        <color indexed="8"/>
        <rFont val="Arial"/>
        <family val="2"/>
      </rPr>
      <t>Pró-Labore por Diretor</t>
    </r>
  </si>
  <si>
    <r>
      <rPr>
        <sz val="8"/>
        <color indexed="8"/>
        <rFont val="Arial"/>
        <family val="2"/>
      </rPr>
      <t>Contribuição INSS s/ Pró-labore</t>
    </r>
  </si>
  <si>
    <r>
      <rPr>
        <sz val="8"/>
        <color indexed="8"/>
        <rFont val="Arial"/>
        <family val="2"/>
      </rPr>
      <t>15%</t>
    </r>
  </si>
  <si>
    <r>
      <rPr>
        <sz val="8"/>
        <color indexed="8"/>
        <rFont val="Arial"/>
        <family val="2"/>
      </rPr>
      <t>Taxa de Gerenciamento</t>
    </r>
  </si>
  <si>
    <r>
      <rPr>
        <sz val="8"/>
        <color indexed="8"/>
        <rFont val="Arial"/>
        <family val="2"/>
      </rPr>
      <t>Vida útil do pneu com 2 recapagens</t>
    </r>
  </si>
  <si>
    <r>
      <rPr>
        <b/>
        <sz val="8"/>
        <color indexed="8"/>
        <rFont val="Arial"/>
        <family val="2"/>
      </rPr>
      <t xml:space="preserve"> A - Combustível</t>
    </r>
  </si>
  <si>
    <r>
      <rPr>
        <b/>
        <sz val="8"/>
        <color indexed="8"/>
        <rFont val="Arial"/>
        <family val="2"/>
      </rPr>
      <t xml:space="preserve"> B - Óleos Lubrificantes</t>
    </r>
  </si>
  <si>
    <t xml:space="preserve"> </t>
  </si>
  <si>
    <t xml:space="preserve"> Total  </t>
  </si>
  <si>
    <r>
      <rPr>
        <sz val="8"/>
        <color indexed="8"/>
        <rFont val="Arial"/>
        <family val="2"/>
      </rPr>
      <t xml:space="preserve"> Quilometragem mínima </t>
    </r>
  </si>
  <si>
    <r>
      <rPr>
        <b/>
        <sz val="8"/>
        <color indexed="8"/>
        <rFont val="Arial"/>
        <family val="2"/>
      </rPr>
      <t xml:space="preserve"> Custo ponderado da rodagem por km</t>
    </r>
  </si>
  <si>
    <r>
      <rPr>
        <sz val="8"/>
        <color indexed="8"/>
        <rFont val="Arial"/>
        <family val="2"/>
      </rPr>
      <t>Custo por veículo</t>
    </r>
  </si>
  <si>
    <r>
      <rPr>
        <sz val="8"/>
        <color indexed="8"/>
        <rFont val="Arial"/>
        <family val="2"/>
      </rPr>
      <t>Quant. de veículos</t>
    </r>
  </si>
  <si>
    <r>
      <rPr>
        <sz val="8"/>
        <color indexed="8"/>
        <rFont val="Arial"/>
        <family val="2"/>
      </rPr>
      <t>Custo total</t>
    </r>
  </si>
  <si>
    <r>
      <rPr>
        <sz val="8"/>
        <color indexed="8"/>
        <rFont val="Arial"/>
        <family val="2"/>
      </rPr>
      <t xml:space="preserve"> Total da frota  </t>
    </r>
  </si>
  <si>
    <r>
      <rPr>
        <sz val="8"/>
        <color indexed="8"/>
        <rFont val="Arial"/>
        <family val="2"/>
      </rPr>
      <t xml:space="preserve"> Custo ponderado da rodagem por veículo</t>
    </r>
  </si>
  <si>
    <r>
      <rPr>
        <b/>
        <sz val="8"/>
        <color indexed="8"/>
        <rFont val="Arial"/>
        <family val="2"/>
      </rPr>
      <t xml:space="preserve"> Resumo dos custos variáveis</t>
    </r>
  </si>
  <si>
    <r>
      <rPr>
        <b/>
        <sz val="8"/>
        <color indexed="8"/>
        <rFont val="Arial"/>
        <family val="2"/>
      </rPr>
      <t xml:space="preserve"> C - Rodagem </t>
    </r>
  </si>
  <si>
    <r>
      <rPr>
        <sz val="8"/>
        <color indexed="8"/>
        <rFont val="Arial"/>
        <family val="2"/>
      </rPr>
      <t xml:space="preserve"> Custo variável total por km</t>
    </r>
  </si>
  <si>
    <t xml:space="preserve"> Valor total </t>
  </si>
  <si>
    <t xml:space="preserve">Valor </t>
  </si>
  <si>
    <r>
      <rPr>
        <sz val="8"/>
        <color indexed="8"/>
        <rFont val="Arial"/>
        <family val="2"/>
      </rPr>
      <t xml:space="preserve"> km por mês </t>
    </r>
  </si>
  <si>
    <t>Valor residual</t>
  </si>
  <si>
    <t xml:space="preserve"> Coefic. Deprec.</t>
  </si>
  <si>
    <r>
      <rPr>
        <sz val="8"/>
        <color indexed="8"/>
        <rFont val="Arial"/>
        <family val="2"/>
      </rPr>
      <t>Coefic. remuner.</t>
    </r>
  </si>
  <si>
    <r>
      <rPr>
        <sz val="8"/>
        <color indexed="8"/>
        <rFont val="Arial"/>
        <family val="2"/>
      </rPr>
      <t>Remuner. mensal</t>
    </r>
  </si>
  <si>
    <r>
      <rPr>
        <b/>
        <sz val="8"/>
        <color indexed="8"/>
        <rFont val="Arial"/>
        <family val="2"/>
      </rPr>
      <t xml:space="preserve"> Resumo dos custos de capital</t>
    </r>
  </si>
  <si>
    <r>
      <rPr>
        <sz val="8"/>
        <color indexed="8"/>
        <rFont val="Arial"/>
        <family val="2"/>
      </rPr>
      <t xml:space="preserve"> A2 - Depreciação mensal de máquinas, equipamentos e instalações   </t>
    </r>
  </si>
  <si>
    <r>
      <rPr>
        <sz val="8"/>
        <color indexed="8"/>
        <rFont val="Arial"/>
        <family val="2"/>
      </rPr>
      <t xml:space="preserve"> A3 - Remuneração mensal do capital empregado no almoxarifado</t>
    </r>
  </si>
  <si>
    <t xml:space="preserve">Total  </t>
  </si>
  <si>
    <r>
      <rPr>
        <sz val="8"/>
        <color indexed="8"/>
        <rFont val="Arial"/>
        <family val="2"/>
      </rPr>
      <t xml:space="preserve"> Pessoal de operação</t>
    </r>
  </si>
  <si>
    <r>
      <rPr>
        <sz val="8"/>
        <color indexed="8"/>
        <rFont val="Arial"/>
        <family val="2"/>
      </rPr>
      <t xml:space="preserve"> C1 - Depesa mensal com pessoal de operação</t>
    </r>
  </si>
  <si>
    <r>
      <rPr>
        <sz val="8"/>
        <color indexed="8"/>
        <rFont val="Arial"/>
        <family val="2"/>
      </rPr>
      <t xml:space="preserve"> C2 - Despesa com pessoal de manutenção</t>
    </r>
  </si>
  <si>
    <r>
      <rPr>
        <sz val="8"/>
        <color indexed="8"/>
        <rFont val="Arial"/>
        <family val="2"/>
      </rPr>
      <t xml:space="preserve"> Despesa mensal com pessoal de operação e manutenção</t>
    </r>
  </si>
  <si>
    <r>
      <rPr>
        <b/>
        <sz val="8"/>
        <color indexed="8"/>
        <rFont val="Arial"/>
        <family val="2"/>
      </rPr>
      <t xml:space="preserve"> D - Despesas administrativas</t>
    </r>
  </si>
  <si>
    <r>
      <rPr>
        <b/>
        <sz val="8"/>
        <color indexed="8"/>
        <rFont val="Arial"/>
        <family val="2"/>
      </rPr>
      <t xml:space="preserve"> D1 - Pessoal administrativo </t>
    </r>
  </si>
  <si>
    <r>
      <rPr>
        <sz val="8"/>
        <color indexed="8"/>
        <rFont val="Arial"/>
        <family val="2"/>
      </rPr>
      <t xml:space="preserve"> Despesa mensal </t>
    </r>
  </si>
  <si>
    <t xml:space="preserve">Sub-total </t>
  </si>
  <si>
    <r>
      <rPr>
        <b/>
        <sz val="8"/>
        <color indexed="8"/>
        <rFont val="Arial"/>
        <family val="2"/>
      </rPr>
      <t xml:space="preserve"> RESUMO DE DESPESAS ADMINISTRATIVAS</t>
    </r>
  </si>
  <si>
    <r>
      <rPr>
        <sz val="8"/>
        <color indexed="8"/>
        <rFont val="Arial"/>
        <family val="2"/>
      </rPr>
      <t xml:space="preserve"> D1 - Pessoal administrativo </t>
    </r>
  </si>
  <si>
    <r>
      <rPr>
        <sz val="8"/>
        <color indexed="8"/>
        <rFont val="Arial"/>
        <family val="2"/>
      </rPr>
      <t xml:space="preserve"> D2 - Outras despesas </t>
    </r>
  </si>
  <si>
    <t xml:space="preserve"> D5 - Pró-labore diretoria </t>
  </si>
  <si>
    <r>
      <rPr>
        <b/>
        <sz val="8"/>
        <color indexed="8"/>
        <rFont val="Arial"/>
        <family val="2"/>
      </rPr>
      <t xml:space="preserve"> RESUMO DO CUSTO FIXO TOTAL P/QUILOMETRO</t>
    </r>
  </si>
  <si>
    <r>
      <rPr>
        <sz val="8"/>
        <color indexed="8"/>
        <rFont val="Arial"/>
        <family val="2"/>
      </rPr>
      <t xml:space="preserve"> A - Custo de capital por km</t>
    </r>
  </si>
  <si>
    <r>
      <rPr>
        <sz val="8"/>
        <color indexed="8"/>
        <rFont val="Arial"/>
        <family val="2"/>
      </rPr>
      <t xml:space="preserve"> B - Despesa com peças e acessórios por km </t>
    </r>
  </si>
  <si>
    <r>
      <rPr>
        <sz val="8"/>
        <color indexed="8"/>
        <rFont val="Arial"/>
        <family val="2"/>
      </rPr>
      <t xml:space="preserve"> C - Depesas com pessoal de operação e manutenção por km</t>
    </r>
  </si>
  <si>
    <r>
      <rPr>
        <sz val="8"/>
        <color indexed="8"/>
        <rFont val="Arial"/>
        <family val="2"/>
      </rPr>
      <t xml:space="preserve"> D - Despesas administrativas por km</t>
    </r>
  </si>
  <si>
    <r>
      <rPr>
        <sz val="8"/>
        <color indexed="8"/>
        <rFont val="Arial"/>
        <family val="2"/>
      </rPr>
      <t xml:space="preserve"> Custo fixo total por km </t>
    </r>
  </si>
  <si>
    <r>
      <rPr>
        <b/>
        <sz val="8"/>
        <color indexed="8"/>
        <rFont val="Arial"/>
        <family val="2"/>
      </rPr>
      <t xml:space="preserve"> Custo total por km </t>
    </r>
  </si>
  <si>
    <r>
      <rPr>
        <b/>
        <sz val="8"/>
        <color indexed="8"/>
        <rFont val="Arial"/>
        <family val="2"/>
      </rPr>
      <t xml:space="preserve"> Tributos </t>
    </r>
  </si>
  <si>
    <r>
      <rPr>
        <sz val="8"/>
        <color indexed="8"/>
        <rFont val="Arial"/>
        <family val="2"/>
      </rPr>
      <t>Porcentagem</t>
    </r>
  </si>
  <si>
    <r>
      <rPr>
        <sz val="8"/>
        <color indexed="8"/>
        <rFont val="Arial"/>
        <family val="2"/>
      </rPr>
      <t>Índice</t>
    </r>
  </si>
  <si>
    <r>
      <rPr>
        <sz val="8"/>
        <color indexed="8"/>
        <rFont val="Arial"/>
        <family val="2"/>
      </rPr>
      <t xml:space="preserve"> ISSQN</t>
    </r>
  </si>
  <si>
    <t xml:space="preserve"> Soma </t>
  </si>
  <si>
    <t xml:space="preserve"> Valor total da frota pesada</t>
  </si>
  <si>
    <t>Coef. de consumo de óleo de motor veículo pesado</t>
  </si>
  <si>
    <t>Coef. de consumo de óleo de motor micro</t>
  </si>
  <si>
    <t>Coef.de consumo de óleo de caixa  veículo pesado</t>
  </si>
  <si>
    <t>Coef.de consumo de óleo de caixa micro</t>
  </si>
  <si>
    <t>Coef. de consumo de óleo diferencial veículo pesado</t>
  </si>
  <si>
    <t>Coef. de consumo de óleo diferencial micro</t>
  </si>
  <si>
    <t>Coef. de consumo de óleo direção hidráulica veículo pesado</t>
  </si>
  <si>
    <t>Coef. de consumo de óleo direção hidráulica micro</t>
  </si>
  <si>
    <t>Coef. de consumo de fluido de freio veículo pesado</t>
  </si>
  <si>
    <t>Coef. de consumo de fluido de freio micro</t>
  </si>
  <si>
    <t xml:space="preserve"> Frota micro</t>
  </si>
  <si>
    <r>
      <rPr>
        <sz val="8"/>
        <color indexed="8"/>
        <rFont val="Arial"/>
        <family val="2"/>
      </rPr>
      <t>Preço de pneu radial leve</t>
    </r>
  </si>
  <si>
    <t>Preço de pneu micro</t>
  </si>
  <si>
    <r>
      <rPr>
        <sz val="8"/>
        <color indexed="8"/>
        <rFont val="Arial"/>
        <family val="2"/>
      </rPr>
      <t>Preço de pneu radial pesado</t>
    </r>
  </si>
  <si>
    <t>Preço de recapagem leve</t>
  </si>
  <si>
    <t>Preço de recapagem micro</t>
  </si>
  <si>
    <t>Preço de recapagem pesado</t>
  </si>
  <si>
    <t>Preço de protetor micro</t>
  </si>
  <si>
    <r>
      <rPr>
        <sz val="8"/>
        <color indexed="8"/>
        <rFont val="Arial"/>
        <family val="2"/>
      </rPr>
      <t>Preço de protetor leve</t>
    </r>
  </si>
  <si>
    <r>
      <rPr>
        <sz val="8"/>
        <color indexed="8"/>
        <rFont val="Arial"/>
        <family val="2"/>
      </rPr>
      <t>Preço de protetor pesado</t>
    </r>
  </si>
  <si>
    <t>Coef. de consumo de óleo de motor veículo leve</t>
  </si>
  <si>
    <t>Coef.de consumo de óleo de caixa veículo leve</t>
  </si>
  <si>
    <t>Coef. de consumo de óleo diferencial veículo leve</t>
  </si>
  <si>
    <t>Coef. de consumo de óleo direção hidráulica veículo leve</t>
  </si>
  <si>
    <t>Coef. de consumo de fluido de freio veículo leve</t>
  </si>
  <si>
    <t xml:space="preserve"> Rodagem veículo micro por km</t>
  </si>
  <si>
    <t xml:space="preserve"> Rodagem veículo leve por km</t>
  </si>
  <si>
    <t xml:space="preserve"> Custo rodagem veículo pesado por km</t>
  </si>
  <si>
    <t xml:space="preserve"> Custo rodagem veículo leve por km</t>
  </si>
  <si>
    <t xml:space="preserve"> Custo rodagem veículo micro por km</t>
  </si>
  <si>
    <t xml:space="preserve"> Custo rodagem veículo micro</t>
  </si>
  <si>
    <t xml:space="preserve"> Custo rodagem veículo leve</t>
  </si>
  <si>
    <t xml:space="preserve"> Valor total da frota leve</t>
  </si>
  <si>
    <t xml:space="preserve"> Valor total da frota micro</t>
  </si>
  <si>
    <t xml:space="preserve"> Resumo das Despesas com pessoal de operação e manutenção</t>
  </si>
  <si>
    <t xml:space="preserve"> Total mensal </t>
  </si>
  <si>
    <t>Quant. veículos</t>
  </si>
  <si>
    <t>Pró-labore por mês</t>
  </si>
  <si>
    <t xml:space="preserve"> km por mês </t>
  </si>
  <si>
    <t>TABELAS DE CUSTOS DO TRANSPORTE COLETIVO</t>
  </si>
  <si>
    <t>Valor total</t>
  </si>
  <si>
    <t xml:space="preserve"> Equipamento de bilhetagem eletrônica</t>
  </si>
  <si>
    <t xml:space="preserve"> Depreciação do sistema de bilhetagem por km</t>
  </si>
  <si>
    <t xml:space="preserve"> A4 - Depreciação do Sistema de Bilhetagem Eletrônica</t>
  </si>
  <si>
    <t xml:space="preserve">Deprec. mensal </t>
  </si>
  <si>
    <t>Preço do óleo da direção hidráulica</t>
  </si>
  <si>
    <t xml:space="preserve"> C - Despesas com pessoal de operação e manutenção</t>
  </si>
  <si>
    <t xml:space="preserve"> PIS</t>
  </si>
  <si>
    <t xml:space="preserve"> COFINS</t>
  </si>
  <si>
    <r>
      <rPr>
        <b/>
        <sz val="8"/>
        <color indexed="8"/>
        <rFont val="Arial"/>
        <family val="2"/>
      </rPr>
      <t xml:space="preserve"> A2 - Depreciação Máquinas, Equipamentos e Instalações</t>
    </r>
  </si>
  <si>
    <r>
      <rPr>
        <b/>
        <sz val="8"/>
        <color indexed="8"/>
        <rFont val="Arial"/>
        <family val="2"/>
      </rPr>
      <t xml:space="preserve"> A3 - Remuneração capital empregado no almoxarifado</t>
    </r>
  </si>
  <si>
    <t>Coef. consumo combustível veículo micro sem ar</t>
  </si>
  <si>
    <t>Coef. consumo combustível veículo micro com ar</t>
  </si>
  <si>
    <t>Coef. consumo combustível veículo leve sem ar</t>
  </si>
  <si>
    <t>Coef. consumo combustível veículo leve com ar</t>
  </si>
  <si>
    <t>Coef. consumo combustível veículo pesado sem ar</t>
  </si>
  <si>
    <t>Coef. consumo combustível veículo pesado com ar</t>
  </si>
  <si>
    <t>Preço do quilo de graxa</t>
  </si>
  <si>
    <t>Coef. de consumo de graxa veículo micro</t>
  </si>
  <si>
    <t>Coef. de consumo de graxa veículo leve</t>
  </si>
  <si>
    <t>Coef. de consumo de graxa veículo pesado</t>
  </si>
  <si>
    <t>Valor sem rodagem</t>
  </si>
  <si>
    <t>Valor leve</t>
  </si>
  <si>
    <t>Valor pesado</t>
  </si>
  <si>
    <t>Valor ponder. rodag.</t>
  </si>
  <si>
    <t>Valor frota</t>
  </si>
  <si>
    <t>x n.º veíc. da frota</t>
  </si>
  <si>
    <t xml:space="preserve"> Coefic.de deprec.</t>
  </si>
  <si>
    <t>Valor frota s/ rodag.</t>
  </si>
  <si>
    <t>Coeficiente 10%</t>
  </si>
  <si>
    <t>Coefic. 10 %</t>
  </si>
  <si>
    <t>(Sem reserva)</t>
  </si>
  <si>
    <t>Quantidade</t>
  </si>
  <si>
    <t xml:space="preserve"> A1 -  Depreciação mensal da frota menos valor residual</t>
  </si>
  <si>
    <t xml:space="preserve"> Óleo do motor veículo micro</t>
  </si>
  <si>
    <t xml:space="preserve"> Óleo da caixa de mudança veículo micro</t>
  </si>
  <si>
    <t xml:space="preserve"> Óleo da caixa de mudança veículo pesado</t>
  </si>
  <si>
    <t xml:space="preserve"> Óleo do diferencial veículo micro</t>
  </si>
  <si>
    <t xml:space="preserve"> Óleo do diferencial veículo pesado</t>
  </si>
  <si>
    <t xml:space="preserve"> Óleo da direção hidráulica veículo micro</t>
  </si>
  <si>
    <t xml:space="preserve"> Óleo do freio veículo micro</t>
  </si>
  <si>
    <t xml:space="preserve"> Óleo do freio veículo pesado</t>
  </si>
  <si>
    <t xml:space="preserve"> Graxa do veículo micro</t>
  </si>
  <si>
    <t xml:space="preserve"> Graxa do veículo pesado</t>
  </si>
  <si>
    <t xml:space="preserve"> Óleo do motor veículo pesado</t>
  </si>
  <si>
    <t xml:space="preserve"> Custo Ponderado do Combustível por km</t>
  </si>
  <si>
    <t xml:space="preserve"> Custo Ponderado dos Óleos Lubrificantes por km</t>
  </si>
  <si>
    <t xml:space="preserve"> Custo ponderado da rodagem por km </t>
  </si>
  <si>
    <t xml:space="preserve"> Custo variável total por km</t>
  </si>
  <si>
    <t xml:space="preserve"> Valor ponderado da frota micro</t>
  </si>
  <si>
    <t xml:space="preserve"> Valor ponderado da frota leve</t>
  </si>
  <si>
    <t xml:space="preserve"> Valor ponderado da frota pesada</t>
  </si>
  <si>
    <t xml:space="preserve"> Valor do veículo ponderado do sistema</t>
  </si>
  <si>
    <t xml:space="preserve"> Valor do veículo ponderado do sistema menos rodagem</t>
  </si>
  <si>
    <t xml:space="preserve"> Depreciação da frota por km</t>
  </si>
  <si>
    <t xml:space="preserve"> Depreciação da frota menos valor residual por km</t>
  </si>
  <si>
    <t xml:space="preserve"> Depreciação de màquinas, equipamentos e instalações por km</t>
  </si>
  <si>
    <r>
      <t xml:space="preserve"> Remuneração do capital empregad</t>
    </r>
    <r>
      <rPr>
        <b/>
        <sz val="8"/>
        <rFont val="Arial"/>
        <family val="2"/>
      </rPr>
      <t>o no almoxarifado por km</t>
    </r>
  </si>
  <si>
    <t xml:space="preserve"> Custo mensal de capital por km</t>
  </si>
  <si>
    <t xml:space="preserve"> Despesa mensal com peças e acessórios por km</t>
  </si>
  <si>
    <t xml:space="preserve"> Despesa com pessoal de operação por km</t>
  </si>
  <si>
    <t xml:space="preserve"> Despesa com pessoal de manutenção por km</t>
  </si>
  <si>
    <t xml:space="preserve"> Despesa mensal com pessoal de operação e manutenção por km</t>
  </si>
  <si>
    <t xml:space="preserve"> Despesa mensal com pessoal administrativo por km</t>
  </si>
  <si>
    <t xml:space="preserve"> Outras despesas por km </t>
  </si>
  <si>
    <t xml:space="preserve"> Pró-labore por km </t>
  </si>
  <si>
    <t xml:space="preserve"> Total da frota</t>
  </si>
  <si>
    <t xml:space="preserve"> 10% do valor total da frota</t>
  </si>
  <si>
    <t xml:space="preserve"> 20% do valor total da frota</t>
  </si>
  <si>
    <r>
      <t xml:space="preserve"> Cu</t>
    </r>
    <r>
      <rPr>
        <b/>
        <sz val="8"/>
        <rFont val="Arial"/>
        <family val="2"/>
      </rPr>
      <t>sto mensal das despesas administrativas</t>
    </r>
  </si>
  <si>
    <t xml:space="preserve"> Custo fixo total por km </t>
  </si>
  <si>
    <t xml:space="preserve"> Custo total por km </t>
  </si>
  <si>
    <t xml:space="preserve"> Marcopolo Sênior Mercedes L0814</t>
  </si>
  <si>
    <t xml:space="preserve"> Marcopolo Torino Volks 16210</t>
  </si>
  <si>
    <t xml:space="preserve"> Comil Volks 16210</t>
  </si>
  <si>
    <t xml:space="preserve"> Comil Mercedes 1721</t>
  </si>
  <si>
    <t xml:space="preserve"> Marcopolo</t>
  </si>
  <si>
    <t xml:space="preserve">Ano do veículo </t>
  </si>
  <si>
    <t xml:space="preserve">N.° de veículos </t>
  </si>
  <si>
    <t xml:space="preserve">Preço atual </t>
  </si>
  <si>
    <t xml:space="preserve">Preço total </t>
  </si>
  <si>
    <t xml:space="preserve"> B - Despesas com peças e acessórios</t>
  </si>
  <si>
    <t>Coefic. remuner.</t>
  </si>
  <si>
    <t>Remuner. mensal</t>
  </si>
  <si>
    <t>Salário</t>
  </si>
  <si>
    <t>Fator de utilização</t>
  </si>
  <si>
    <t xml:space="preserve"> Depesa mensal com pessoal de operação</t>
  </si>
  <si>
    <t xml:space="preserve"> C2 - Despesa com pessoal de manutenção</t>
  </si>
  <si>
    <t xml:space="preserve">Despesa mensal </t>
  </si>
  <si>
    <t xml:space="preserve"> Pessoal de operação</t>
  </si>
  <si>
    <t>Custo total por km com tributos</t>
  </si>
  <si>
    <t>CSLL</t>
  </si>
  <si>
    <t xml:space="preserve">Frota leve </t>
  </si>
  <si>
    <t xml:space="preserve"> D2 - Outras despesas </t>
  </si>
  <si>
    <t xml:space="preserve"> Despesa mensal </t>
  </si>
  <si>
    <r>
      <t>Coefic. mens</t>
    </r>
    <r>
      <rPr>
        <sz val="10"/>
        <rFont val="Arial"/>
        <family val="2"/>
      </rPr>
      <t xml:space="preserve">al </t>
    </r>
  </si>
  <si>
    <t>Pró-labore</t>
  </si>
  <si>
    <t xml:space="preserve">N.° de diretores </t>
  </si>
  <si>
    <t xml:space="preserve"> Custo total do capital </t>
  </si>
  <si>
    <t xml:space="preserve"> Valor ponderado da frota do sistema</t>
  </si>
  <si>
    <t>Total da frota</t>
  </si>
  <si>
    <t xml:space="preserve"> Valor ponderado da frota do sistema menos rodagem</t>
  </si>
  <si>
    <t xml:space="preserve"> Custo ponderado da rodagem por veículo</t>
  </si>
  <si>
    <t xml:space="preserve"> A - Custos de capital</t>
  </si>
  <si>
    <t xml:space="preserve"> A1 - Depreciação da frota</t>
  </si>
  <si>
    <t xml:space="preserve"> Depreciação mensal da frota</t>
  </si>
  <si>
    <t xml:space="preserve"> Depreciação da frota menos valor residual</t>
  </si>
  <si>
    <t xml:space="preserve"> II - CUSTOS FIXOS</t>
  </si>
  <si>
    <t>Preço unitário</t>
  </si>
  <si>
    <t>Quant. por veículo</t>
  </si>
  <si>
    <t xml:space="preserve"> Total da Frota </t>
  </si>
  <si>
    <t>Inss sobre o faturamento bruto</t>
  </si>
  <si>
    <t xml:space="preserve"> A - Combustível (1)</t>
  </si>
  <si>
    <t xml:space="preserve"> Pneu novo (2)  </t>
  </si>
  <si>
    <t xml:space="preserve"> Frota leve (3) </t>
  </si>
  <si>
    <t>Encargos sociais</t>
  </si>
  <si>
    <t xml:space="preserve">Veiculo tipo Lotação </t>
  </si>
  <si>
    <t>Valor  anual p/ veíc.</t>
  </si>
  <si>
    <t xml:space="preserve"> I - CUSTOS VARIÁVEIS</t>
  </si>
  <si>
    <t>N.° de veículos</t>
  </si>
  <si>
    <t>Preço por litro</t>
  </si>
  <si>
    <t>Coefic. de consumo</t>
  </si>
  <si>
    <t xml:space="preserve">Custo por km </t>
  </si>
  <si>
    <t xml:space="preserve"> B - Óleos Lubrificantes</t>
  </si>
  <si>
    <t xml:space="preserve"> Pneu novo </t>
  </si>
  <si>
    <t xml:space="preserve"> Recapagem </t>
  </si>
  <si>
    <t xml:space="preserve"> Protetor </t>
  </si>
  <si>
    <t xml:space="preserve"> Quilometragem mínima </t>
  </si>
  <si>
    <t xml:space="preserve">Fiscal </t>
  </si>
  <si>
    <t xml:space="preserve">PLANILHA DE CÁLCULO TARIFÁRIO </t>
  </si>
  <si>
    <t xml:space="preserve">SISTEMA DE TRANSPORTE PÚBLICO MUNICIPAL </t>
  </si>
  <si>
    <t xml:space="preserve">Referência </t>
  </si>
  <si>
    <t xml:space="preserve">Veiculo  leve especial  </t>
  </si>
  <si>
    <t xml:space="preserve">Veiculo convencional </t>
  </si>
  <si>
    <t xml:space="preserve">Veiculo leve idade média de 8 anos  </t>
  </si>
  <si>
    <t>Ano inicial</t>
  </si>
  <si>
    <t>Ano final</t>
  </si>
  <si>
    <t>Depreciação</t>
  </si>
  <si>
    <t>5 (*)</t>
  </si>
  <si>
    <t xml:space="preserve">Veiculo Leve </t>
  </si>
  <si>
    <t xml:space="preserve"> Frota</t>
  </si>
  <si>
    <t xml:space="preserve">Outros  por km </t>
  </si>
  <si>
    <t xml:space="preserve">Total </t>
  </si>
  <si>
    <t xml:space="preserve">MUNICÍPIO  DE SANTO ANTONIO DA PATRULHA </t>
  </si>
  <si>
    <t xml:space="preserve"> Seguro  por km</t>
  </si>
  <si>
    <t xml:space="preserve">Custo total do sistema  ( custo km x rodagem mês) </t>
  </si>
  <si>
    <t xml:space="preserve">Sesta Básica </t>
  </si>
  <si>
    <t xml:space="preserve"> Total de veículos com reserva técnica </t>
  </si>
  <si>
    <t xml:space="preserve">Taxa de administração do operador </t>
  </si>
  <si>
    <t xml:space="preserve"> Motorista onibus </t>
  </si>
  <si>
    <t xml:space="preserve">Arq. Ida M. Bianchi </t>
  </si>
  <si>
    <t xml:space="preserve">CAU A9064-6 </t>
  </si>
  <si>
    <t xml:space="preserve">Responsável Técnico </t>
  </si>
  <si>
    <t>ANEXO II C</t>
  </si>
  <si>
    <t xml:space="preserve"> Rodagem veículo ponderado  por km</t>
  </si>
  <si>
    <t xml:space="preserve"> Pneu novo ponderado</t>
  </si>
  <si>
    <t xml:space="preserve"> C1 - Despesa mensal com pessoal de operação </t>
  </si>
  <si>
    <t xml:space="preserve">Seguro de responsabilidade Civil </t>
  </si>
  <si>
    <t>Coefic. 20%</t>
  </si>
  <si>
    <t xml:space="preserve">D3 - Outros </t>
  </si>
  <si>
    <t xml:space="preserve">Encargos sociais  (20%) </t>
  </si>
  <si>
    <t>Bilhetagem eletronica urbano</t>
  </si>
  <si>
    <t xml:space="preserve">Veiculo  convencional média de 8 anos  </t>
  </si>
  <si>
    <t xml:space="preserve">A repartição dos custos entre os passageiros transportados e as respectivas tarifas  </t>
  </si>
  <si>
    <t xml:space="preserve"> de utilização estão apresentadas no Anexo II.B  - ESTUDOS ECONÔMICOS </t>
  </si>
  <si>
    <t xml:space="preserve">CÁLCULO  DOS CUST6OS </t>
  </si>
  <si>
    <t xml:space="preserve">Tabela 5.3   Cálculo da Tarifa Média Rural </t>
  </si>
  <si>
    <t xml:space="preserve">Tarifa do setor </t>
  </si>
  <si>
    <t>Participação % do setor (*)</t>
  </si>
  <si>
    <t xml:space="preserve">Passageiro equivalente </t>
  </si>
  <si>
    <t xml:space="preserve">Para o calcula da tarifa média Valor da tarifa x percentual de participação)   </t>
  </si>
  <si>
    <t xml:space="preserve"> Total </t>
  </si>
  <si>
    <t xml:space="preserve">Total da arrecadação por setor </t>
  </si>
  <si>
    <t xml:space="preserve">Tarifa média </t>
  </si>
  <si>
    <t xml:space="preserve">Tarifa estudantil </t>
  </si>
  <si>
    <t xml:space="preserve">Setor Tarifário </t>
  </si>
  <si>
    <t xml:space="preserve"> nº de passageiros   </t>
  </si>
  <si>
    <t xml:space="preserve">do setor </t>
  </si>
  <si>
    <t xml:space="preserve">Tarifa atribuída </t>
  </si>
  <si>
    <t xml:space="preserve">ao setor </t>
  </si>
  <si>
    <t xml:space="preserve">Receita/ mês </t>
  </si>
  <si>
    <t xml:space="preserve">por setor </t>
  </si>
  <si>
    <t xml:space="preserve">Tarifa Urbana </t>
  </si>
  <si>
    <t>Tarifa escolar urbana  </t>
  </si>
  <si>
    <t xml:space="preserve">Tarifa Rural Curta </t>
  </si>
  <si>
    <t xml:space="preserve">Tarifa Rural média </t>
  </si>
  <si>
    <t xml:space="preserve">Rural Longa </t>
  </si>
  <si>
    <t xml:space="preserve">Rural longa estendida </t>
  </si>
  <si>
    <t xml:space="preserve">Longa especial </t>
  </si>
  <si>
    <t xml:space="preserve">Tarifa escolar rural </t>
  </si>
  <si>
    <t xml:space="preserve">passageiros transportados brutos </t>
  </si>
  <si>
    <t xml:space="preserve">tarifa calculada </t>
  </si>
  <si>
    <t xml:space="preserve">Vale Alimentação </t>
  </si>
  <si>
    <t xml:space="preserve">0,5% sobre o valor da frota nova </t>
  </si>
  <si>
    <t xml:space="preserve"> Diretor ( 6sal.mot)</t>
  </si>
  <si>
    <t xml:space="preserve">Tarifa Calculada </t>
  </si>
  <si>
    <t xml:space="preserve">fator de conversão </t>
  </si>
  <si>
    <t xml:space="preserve">Receita prospectda/mês </t>
  </si>
  <si>
    <t>05/05/2020</t>
  </si>
  <si>
    <t xml:space="preserve">Valor estiamdo do contrato 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</si>
</sst>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0"/>
    <numFmt numFmtId="169" formatCode="&quot;R$&quot;#,##0.0000_);&quot;(R$&quot;#,##0.0000\)"/>
    <numFmt numFmtId="170" formatCode="#,##0.000000_);\(#,##0.000000\)"/>
    <numFmt numFmtId="171" formatCode="#,##0.0000_);\(#,##0.0000\)"/>
    <numFmt numFmtId="172" formatCode="&quot;R$&quot;#,##0.00_);&quot;(R$&quot;#,##0.00\)"/>
    <numFmt numFmtId="173" formatCode="_(* #,##0.0000_);_(* \(#,##0.0000\);_(* \-????_);_(@_)"/>
    <numFmt numFmtId="174" formatCode="0.0000"/>
    <numFmt numFmtId="175" formatCode="#,##0.0000"/>
    <numFmt numFmtId="176" formatCode="0.00000"/>
    <numFmt numFmtId="177" formatCode="&quot;R$&quot;#,##0.00"/>
    <numFmt numFmtId="178" formatCode="0.000"/>
    <numFmt numFmtId="179" formatCode="#,###.00"/>
    <numFmt numFmtId="180" formatCode="_(* #,##0.00_);_(* \(#,##0.00\);_(* \-??_);_(@_)"/>
    <numFmt numFmtId="181" formatCode="_(* #,##0_);_(* \(#,##0\);_(* \-??_);_(@_)"/>
    <numFmt numFmtId="182" formatCode="_(* #,##0_);_(* \(#,##0\);_(* \-_);_(@_)"/>
    <numFmt numFmtId="183" formatCode="0_);\(0\)"/>
    <numFmt numFmtId="184" formatCode="#,##0\ _$;\-#,##0\ _$"/>
    <numFmt numFmtId="185" formatCode="#,##0.00000_);\(#,##0.00000\)"/>
    <numFmt numFmtId="186" formatCode="&quot;R$&quot;#,##0.0000"/>
    <numFmt numFmtId="187" formatCode="#,##0.00\ _$;\-#,##0.00\ _$"/>
    <numFmt numFmtId="188" formatCode="&quot;R$&quot;#,##0"/>
    <numFmt numFmtId="189" formatCode="#,##0.00000"/>
    <numFmt numFmtId="190" formatCode="_(&quot;R$ &quot;* #,##0.00_);_(&quot;R$ &quot;* \(#,##0.00\);_(&quot;R$ &quot;* \-??_);_(@_)"/>
    <numFmt numFmtId="191" formatCode="0.0000_)"/>
    <numFmt numFmtId="192" formatCode="0.000000"/>
    <numFmt numFmtId="193" formatCode="_(* #,##0.0000_);_(* \(#,##0.0000\);_(* &quot;-&quot;????_);_(@_)"/>
    <numFmt numFmtId="194" formatCode="_(* #,##0.0_);_(* \(#,##0.0\);_(* &quot;-&quot;?_);_(@_)"/>
    <numFmt numFmtId="195" formatCode="_(* #,##0.000_);_(* \(#,##0.000\);_(* \-????_);_(@_)"/>
    <numFmt numFmtId="196" formatCode="_(* #,##0.00_);_(* \(#,##0.00\);_(* \-????_);_(@_)"/>
    <numFmt numFmtId="197" formatCode="_-[$R$-416]\ * #,##0.00_-;\-[$R$-416]\ * #,##0.00_-;_-[$R$-416]\ * &quot;-&quot;??_-;_-@_-"/>
    <numFmt numFmtId="198" formatCode="_(* #,##0_);_(* \(#,##0\);_(* &quot;-&quot;?_);_(@_)"/>
    <numFmt numFmtId="199" formatCode="#,##0.00_);\(#,##0.00\)"/>
    <numFmt numFmtId="200" formatCode="#,##0_ ;\-#,##0\ "/>
    <numFmt numFmtId="201" formatCode="_-* #,##0_-;\-* #,##0_-;_-* &quot;-&quot;??_-;_-@_-"/>
    <numFmt numFmtId="202" formatCode="#,##0.0_ ;\-#,##0.0\ "/>
    <numFmt numFmtId="203" formatCode="#,##0.00_ ;\-#,##0.00\ "/>
    <numFmt numFmtId="204" formatCode="_(* #,##0.0_);_(* \(#,##0.0\);_(* \-_);_(@_)"/>
    <numFmt numFmtId="205" formatCode="0.0"/>
    <numFmt numFmtId="206" formatCode="[$-416]dddd\,\ d&quot; de &quot;mmmm&quot; de &quot;yyyy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  <numFmt numFmtId="211" formatCode="#,##0.00_ ;[Red]\-#,##0.00\ "/>
    <numFmt numFmtId="212" formatCode="#,##0.0_ ;[Red]\-#,##0.0\ "/>
    <numFmt numFmtId="213" formatCode="#,##0_ ;[Red]\-#,##0\ "/>
    <numFmt numFmtId="214" formatCode="_(* #,##0.0_);_(* \(#,##0.0\);_(* \-????_);_(@_)"/>
    <numFmt numFmtId="215" formatCode="_(* #,##0_);_(* \(#,##0\);_(* \-????_);_(@_)"/>
    <numFmt numFmtId="216" formatCode="0.0000000"/>
    <numFmt numFmtId="217" formatCode="#,##0.0"/>
  </numFmts>
  <fonts count="5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u val="single"/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5" fontId="2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68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83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8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90" fontId="4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94" fontId="2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93" fontId="2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0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83" fontId="57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98" fontId="1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/>
    </xf>
    <xf numFmtId="166" fontId="1" fillId="0" borderId="0" xfId="47" applyFont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9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9" fontId="10" fillId="0" borderId="11" xfId="51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192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192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192" fontId="10" fillId="33" borderId="11" xfId="0" applyNumberFormat="1" applyFont="1" applyFill="1" applyBorder="1" applyAlignment="1">
      <alignment horizontal="right"/>
    </xf>
    <xf numFmtId="2" fontId="10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7" fontId="1" fillId="0" borderId="0" xfId="0" applyNumberFormat="1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196" fontId="1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horizontal="center"/>
    </xf>
    <xf numFmtId="190" fontId="14" fillId="34" borderId="0" xfId="0" applyNumberFormat="1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/>
    </xf>
    <xf numFmtId="174" fontId="14" fillId="34" borderId="0" xfId="0" applyNumberFormat="1" applyFont="1" applyFill="1" applyBorder="1" applyAlignment="1">
      <alignment horizontal="center"/>
    </xf>
    <xf numFmtId="173" fontId="14" fillId="34" borderId="0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166" fontId="14" fillId="34" borderId="0" xfId="47" applyFont="1" applyFill="1" applyAlignment="1">
      <alignment/>
    </xf>
    <xf numFmtId="166" fontId="14" fillId="34" borderId="0" xfId="0" applyNumberFormat="1" applyFont="1" applyFill="1" applyAlignment="1">
      <alignment/>
    </xf>
    <xf numFmtId="166" fontId="15" fillId="0" borderId="0" xfId="0" applyNumberFormat="1" applyFont="1" applyAlignment="1">
      <alignment/>
    </xf>
    <xf numFmtId="166" fontId="15" fillId="0" borderId="0" xfId="47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8" fontId="10" fillId="0" borderId="13" xfId="0" applyNumberFormat="1" applyFont="1" applyBorder="1" applyAlignment="1">
      <alignment vertical="center"/>
    </xf>
    <xf numFmtId="8" fontId="17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1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8" fontId="10" fillId="0" borderId="0" xfId="0" applyNumberFormat="1" applyFont="1" applyAlignment="1">
      <alignment/>
    </xf>
    <xf numFmtId="166" fontId="58" fillId="0" borderId="0" xfId="47" applyFont="1" applyAlignment="1">
      <alignment/>
    </xf>
    <xf numFmtId="0" fontId="1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0</xdr:col>
      <xdr:colOff>790575</xdr:colOff>
      <xdr:row>2</xdr:row>
      <xdr:rowOff>285750</xdr:rowOff>
    </xdr:to>
    <xdr:pic>
      <xdr:nvPicPr>
        <xdr:cNvPr id="1" name="Imagem 3" descr="Brasão de Santo Antônio da Patrul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6"/>
  <sheetViews>
    <sheetView tabSelected="1" zoomScale="90" zoomScaleNormal="90" zoomScalePageLayoutView="0" workbookViewId="0" topLeftCell="A1">
      <selection activeCell="J225" sqref="J225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3" width="14.421875" style="0" customWidth="1"/>
    <col min="4" max="4" width="12.8515625" style="0" customWidth="1"/>
    <col min="5" max="5" width="15.140625" style="0" customWidth="1"/>
    <col min="6" max="6" width="15.421875" style="0" customWidth="1"/>
    <col min="8" max="8" width="9.7109375" style="0" bestFit="1" customWidth="1"/>
    <col min="10" max="10" width="9.57421875" style="0" bestFit="1" customWidth="1"/>
  </cols>
  <sheetData>
    <row r="1" ht="36" customHeight="1"/>
    <row r="2" spans="1:5" ht="15">
      <c r="A2" s="242"/>
      <c r="B2" s="180" t="s">
        <v>257</v>
      </c>
      <c r="C2" s="180"/>
      <c r="D2" s="180"/>
      <c r="E2" s="180"/>
    </row>
    <row r="3" spans="1:5" ht="26.25" customHeight="1">
      <c r="A3" s="242"/>
      <c r="B3" s="180" t="s">
        <v>244</v>
      </c>
      <c r="C3" s="180"/>
      <c r="D3" s="180"/>
      <c r="E3" s="180"/>
    </row>
    <row r="4" spans="1:5" ht="26.25" customHeight="1">
      <c r="A4" s="242"/>
      <c r="B4" s="243" t="s">
        <v>267</v>
      </c>
      <c r="C4" s="243"/>
      <c r="D4" s="243"/>
      <c r="E4" s="243"/>
    </row>
    <row r="5" spans="1:6" ht="20.25" customHeight="1">
      <c r="A5" s="241" t="s">
        <v>243</v>
      </c>
      <c r="B5" s="241"/>
      <c r="C5" s="241"/>
      <c r="D5" s="241"/>
      <c r="E5" s="241"/>
      <c r="F5" s="241"/>
    </row>
    <row r="6" spans="1:6" ht="15" customHeight="1">
      <c r="A6" s="67"/>
      <c r="B6" s="67"/>
      <c r="C6" s="67"/>
      <c r="D6" s="67"/>
      <c r="E6" s="67"/>
      <c r="F6" s="67"/>
    </row>
    <row r="7" spans="1:6" ht="15" customHeight="1">
      <c r="A7" s="239" t="s">
        <v>245</v>
      </c>
      <c r="B7" s="239"/>
      <c r="C7" s="239"/>
      <c r="D7" s="239"/>
      <c r="E7" s="239"/>
      <c r="F7" s="158" t="s">
        <v>312</v>
      </c>
    </row>
    <row r="8" spans="1:6" ht="12.75" customHeight="1">
      <c r="A8" s="89" t="s">
        <v>232</v>
      </c>
      <c r="B8" s="110"/>
      <c r="C8" s="115" t="s">
        <v>233</v>
      </c>
      <c r="D8" s="110"/>
      <c r="E8" s="159"/>
      <c r="F8" s="160"/>
    </row>
    <row r="9" spans="1:6" ht="12.75" customHeight="1">
      <c r="A9" s="94" t="s">
        <v>226</v>
      </c>
      <c r="B9" s="110"/>
      <c r="C9" s="115" t="s">
        <v>145</v>
      </c>
      <c r="D9" s="115" t="s">
        <v>234</v>
      </c>
      <c r="E9" s="115" t="s">
        <v>235</v>
      </c>
      <c r="F9" s="161" t="s">
        <v>236</v>
      </c>
    </row>
    <row r="10" spans="1:6" ht="12.75" customHeight="1">
      <c r="A10" s="109" t="s">
        <v>246</v>
      </c>
      <c r="B10" s="110"/>
      <c r="C10" s="148">
        <v>14</v>
      </c>
      <c r="D10" s="131">
        <v>3.17</v>
      </c>
      <c r="E10" s="73">
        <v>0.35</v>
      </c>
      <c r="F10" s="112">
        <f>(C10*D11*E10)</f>
        <v>15.532999999999998</v>
      </c>
    </row>
    <row r="11" spans="1:6" ht="12.75" customHeight="1">
      <c r="A11" s="109" t="s">
        <v>247</v>
      </c>
      <c r="B11" s="110"/>
      <c r="C11" s="148">
        <v>20</v>
      </c>
      <c r="D11" s="131">
        <v>3.17</v>
      </c>
      <c r="E11" s="73">
        <v>0.42</v>
      </c>
      <c r="F11" s="112">
        <f>C11*D11*E11</f>
        <v>26.628</v>
      </c>
    </row>
    <row r="12" spans="1:6" ht="12.75" customHeight="1">
      <c r="A12" s="109" t="s">
        <v>224</v>
      </c>
      <c r="B12" s="110"/>
      <c r="C12" s="149">
        <f>SUM(C10:C11)</f>
        <v>34</v>
      </c>
      <c r="D12" s="96"/>
      <c r="E12" s="67"/>
      <c r="F12" s="112">
        <f>SUM(F10:F11)</f>
        <v>42.161</v>
      </c>
    </row>
    <row r="13" spans="1:6" ht="12.75" customHeight="1">
      <c r="A13" s="68" t="s">
        <v>159</v>
      </c>
      <c r="B13" s="110"/>
      <c r="C13" s="110"/>
      <c r="D13" s="162"/>
      <c r="E13" s="96"/>
      <c r="F13" s="103">
        <f>F12/C12</f>
        <v>1.240029411764706</v>
      </c>
    </row>
    <row r="14" spans="1:6" ht="10.5" customHeight="1">
      <c r="A14" s="68"/>
      <c r="B14" s="110"/>
      <c r="C14" s="110"/>
      <c r="D14" s="110"/>
      <c r="E14" s="163"/>
      <c r="F14" s="111"/>
    </row>
    <row r="15" spans="1:6" ht="12.75" customHeight="1">
      <c r="A15" s="94" t="s">
        <v>237</v>
      </c>
      <c r="B15" s="110"/>
      <c r="C15" s="115" t="s">
        <v>233</v>
      </c>
      <c r="D15" s="115" t="s">
        <v>234</v>
      </c>
      <c r="E15" s="115" t="s">
        <v>235</v>
      </c>
      <c r="F15" s="161" t="s">
        <v>236</v>
      </c>
    </row>
    <row r="16" spans="1:6" ht="12.75" customHeight="1" hidden="1">
      <c r="A16" s="109" t="s">
        <v>148</v>
      </c>
      <c r="B16" s="110"/>
      <c r="C16" s="145">
        <v>0</v>
      </c>
      <c r="D16" s="131">
        <f>'Inform.'!K3</f>
        <v>8.75</v>
      </c>
      <c r="E16" s="164">
        <f>'Inform.'!J32</f>
        <v>0.0018399999999999998</v>
      </c>
      <c r="F16" s="112">
        <f>C16*D16*E16</f>
        <v>0</v>
      </c>
    </row>
    <row r="17" spans="1:6" ht="12.75" customHeight="1">
      <c r="A17" s="109" t="s">
        <v>158</v>
      </c>
      <c r="B17" s="110"/>
      <c r="C17" s="145">
        <v>34</v>
      </c>
      <c r="D17" s="165">
        <v>25</v>
      </c>
      <c r="E17" s="164">
        <f>'Inform.'!J34</f>
        <v>0.005</v>
      </c>
      <c r="F17" s="112">
        <f aca="true" t="shared" si="0" ref="F17:F26">C17*D17*E17</f>
        <v>4.25</v>
      </c>
    </row>
    <row r="18" spans="1:6" ht="12.75" customHeight="1" hidden="1">
      <c r="A18" s="109" t="s">
        <v>149</v>
      </c>
      <c r="B18" s="110"/>
      <c r="C18" s="145">
        <v>34</v>
      </c>
      <c r="D18" s="165">
        <f>'Inform.'!K4</f>
        <v>11</v>
      </c>
      <c r="E18" s="164">
        <f>'Inform.'!J35</f>
        <v>0.0003533333333333333</v>
      </c>
      <c r="F18" s="112">
        <f t="shared" si="0"/>
        <v>0.13214666666666666</v>
      </c>
    </row>
    <row r="19" spans="1:6" ht="12.75" customHeight="1">
      <c r="A19" s="109" t="s">
        <v>150</v>
      </c>
      <c r="B19" s="110"/>
      <c r="C19" s="145">
        <v>34</v>
      </c>
      <c r="D19" s="165">
        <v>28</v>
      </c>
      <c r="E19" s="164">
        <f>'Inform.'!J37</f>
        <v>0.0006</v>
      </c>
      <c r="F19" s="112">
        <f t="shared" si="0"/>
        <v>0.5711999999999999</v>
      </c>
    </row>
    <row r="20" spans="1:6" ht="12.75" customHeight="1" hidden="1">
      <c r="A20" s="109" t="s">
        <v>151</v>
      </c>
      <c r="B20" s="110"/>
      <c r="C20" s="145">
        <v>34</v>
      </c>
      <c r="D20" s="165">
        <f>'Inform.'!K5</f>
        <v>11</v>
      </c>
      <c r="E20" s="164">
        <f>'Inform.'!J38</f>
        <v>0.00013333333333333334</v>
      </c>
      <c r="F20" s="112">
        <f t="shared" si="0"/>
        <v>0.04986666666666667</v>
      </c>
    </row>
    <row r="21" spans="1:6" ht="12.75" customHeight="1">
      <c r="A21" s="109" t="s">
        <v>152</v>
      </c>
      <c r="B21" s="110"/>
      <c r="C21" s="145">
        <v>34</v>
      </c>
      <c r="D21" s="165">
        <v>22</v>
      </c>
      <c r="E21" s="164">
        <f>'Inform.'!J40</f>
        <v>0.0003</v>
      </c>
      <c r="F21" s="112">
        <f t="shared" si="0"/>
        <v>0.2244</v>
      </c>
    </row>
    <row r="22" spans="1:6" ht="12.75" customHeight="1" hidden="1">
      <c r="A22" s="109" t="s">
        <v>153</v>
      </c>
      <c r="B22" s="110"/>
      <c r="C22" s="145">
        <v>34</v>
      </c>
      <c r="D22" s="165">
        <v>15</v>
      </c>
      <c r="E22" s="164">
        <f>'Inform.'!J41</f>
        <v>3.4E-05</v>
      </c>
      <c r="F22" s="112">
        <f t="shared" si="0"/>
        <v>0.01734</v>
      </c>
    </row>
    <row r="23" spans="1:6" ht="12.75" customHeight="1" hidden="1">
      <c r="A23" s="109" t="s">
        <v>154</v>
      </c>
      <c r="B23" s="110"/>
      <c r="C23" s="145">
        <v>34</v>
      </c>
      <c r="D23" s="165">
        <v>14</v>
      </c>
      <c r="E23" s="164">
        <f>'Inform.'!J44</f>
        <v>0.0001</v>
      </c>
      <c r="F23" s="112">
        <f t="shared" si="0"/>
        <v>0.0476</v>
      </c>
    </row>
    <row r="24" spans="1:6" ht="12.75" customHeight="1">
      <c r="A24" s="109" t="s">
        <v>155</v>
      </c>
      <c r="B24" s="110"/>
      <c r="C24" s="145">
        <v>34</v>
      </c>
      <c r="D24" s="165">
        <v>28</v>
      </c>
      <c r="E24" s="164">
        <f>'Inform.'!J46</f>
        <v>0.0002</v>
      </c>
      <c r="F24" s="112">
        <f t="shared" si="0"/>
        <v>0.1904</v>
      </c>
    </row>
    <row r="25" spans="1:6" ht="12.75" customHeight="1" hidden="1">
      <c r="A25" s="109" t="s">
        <v>156</v>
      </c>
      <c r="B25" s="110"/>
      <c r="C25" s="145">
        <v>34</v>
      </c>
      <c r="D25" s="165">
        <f>'Inform.'!K8</f>
        <v>12</v>
      </c>
      <c r="E25" s="164">
        <f>'Inform.'!J47</f>
        <v>7E-05</v>
      </c>
      <c r="F25" s="112">
        <f t="shared" si="0"/>
        <v>0.02856</v>
      </c>
    </row>
    <row r="26" spans="1:6" ht="12.75" customHeight="1">
      <c r="A26" s="109" t="s">
        <v>157</v>
      </c>
      <c r="B26" s="110"/>
      <c r="C26" s="145">
        <v>34</v>
      </c>
      <c r="D26" s="165">
        <v>45</v>
      </c>
      <c r="E26" s="164">
        <f>'Inform.'!J49</f>
        <v>0.00015</v>
      </c>
      <c r="F26" s="112">
        <f t="shared" si="0"/>
        <v>0.22949999999999998</v>
      </c>
    </row>
    <row r="27" spans="1:6" ht="12.75" customHeight="1">
      <c r="A27" s="109" t="s">
        <v>224</v>
      </c>
      <c r="B27" s="110"/>
      <c r="C27" s="145">
        <v>34</v>
      </c>
      <c r="D27" s="166"/>
      <c r="E27" s="167"/>
      <c r="F27" s="168">
        <f>SUM(F16:F26)</f>
        <v>5.741013333333333</v>
      </c>
    </row>
    <row r="28" spans="1:6" ht="12.75" customHeight="1">
      <c r="A28" s="68" t="s">
        <v>160</v>
      </c>
      <c r="B28" s="110"/>
      <c r="C28" s="110"/>
      <c r="D28" s="110"/>
      <c r="E28" s="169"/>
      <c r="F28" s="151">
        <f>F27/C12</f>
        <v>0.16885333333333333</v>
      </c>
    </row>
    <row r="29" spans="1:6" ht="7.5" customHeight="1" hidden="1">
      <c r="A29" s="110"/>
      <c r="B29" s="110"/>
      <c r="C29" s="110"/>
      <c r="D29" s="110"/>
      <c r="E29" s="169"/>
      <c r="F29" s="110"/>
    </row>
    <row r="30" spans="1:6" ht="12.75" customHeight="1" hidden="1">
      <c r="A30" s="68" t="s">
        <v>99</v>
      </c>
      <c r="B30" s="97"/>
      <c r="C30" s="115"/>
      <c r="D30" s="115" t="s">
        <v>222</v>
      </c>
      <c r="E30" s="115" t="s">
        <v>223</v>
      </c>
      <c r="F30" s="123" t="s">
        <v>194</v>
      </c>
    </row>
    <row r="31" spans="1:6" ht="12.75" customHeight="1" hidden="1">
      <c r="A31" s="109" t="s">
        <v>238</v>
      </c>
      <c r="B31" s="110"/>
      <c r="C31" s="115"/>
      <c r="D31" s="132">
        <v>865</v>
      </c>
      <c r="E31" s="115">
        <v>6</v>
      </c>
      <c r="F31" s="124">
        <f>D31*E31</f>
        <v>5190</v>
      </c>
    </row>
    <row r="32" spans="1:6" ht="12.75" customHeight="1" hidden="1">
      <c r="A32" s="109" t="s">
        <v>239</v>
      </c>
      <c r="B32" s="110"/>
      <c r="C32" s="115"/>
      <c r="D32" s="132">
        <v>192</v>
      </c>
      <c r="E32" s="115">
        <v>12</v>
      </c>
      <c r="F32" s="124">
        <f>D32*E32</f>
        <v>2304</v>
      </c>
    </row>
    <row r="33" spans="1:6" ht="12.75" customHeight="1" hidden="1">
      <c r="A33" s="109" t="s">
        <v>240</v>
      </c>
      <c r="B33" s="110"/>
      <c r="C33" s="115"/>
      <c r="D33" s="132">
        <v>25</v>
      </c>
      <c r="E33" s="115">
        <v>6</v>
      </c>
      <c r="F33" s="124">
        <f>D33*E33</f>
        <v>150</v>
      </c>
    </row>
    <row r="34" spans="1:6" ht="12.75" customHeight="1" hidden="1">
      <c r="A34" s="109" t="s">
        <v>27</v>
      </c>
      <c r="B34" s="144"/>
      <c r="C34" s="145"/>
      <c r="D34" s="144"/>
      <c r="E34" s="144"/>
      <c r="F34" s="98">
        <f>SUM(F31:F33)</f>
        <v>7644</v>
      </c>
    </row>
    <row r="35" spans="1:6" ht="12.75" customHeight="1" hidden="1">
      <c r="A35" s="109" t="s">
        <v>241</v>
      </c>
      <c r="B35" s="110"/>
      <c r="C35" s="110"/>
      <c r="D35" s="110"/>
      <c r="E35" s="110"/>
      <c r="F35" s="146">
        <f>'Inform.'!K55</f>
        <v>100000</v>
      </c>
    </row>
    <row r="36" spans="1:6" ht="12.75" customHeight="1" hidden="1">
      <c r="A36" s="89" t="s">
        <v>103</v>
      </c>
      <c r="B36" s="110"/>
      <c r="C36" s="110"/>
      <c r="D36" s="147"/>
      <c r="E36" s="110"/>
      <c r="F36" s="103">
        <f>F34/F35</f>
        <v>0.07644</v>
      </c>
    </row>
    <row r="37" spans="1:6" ht="6" customHeight="1" hidden="1">
      <c r="A37" s="110"/>
      <c r="B37" s="110"/>
      <c r="C37" s="110"/>
      <c r="D37" s="110"/>
      <c r="E37" s="110"/>
      <c r="F37" s="110"/>
    </row>
    <row r="38" spans="1:6" ht="12.75" customHeight="1" hidden="1">
      <c r="A38" s="68" t="s">
        <v>100</v>
      </c>
      <c r="B38" s="110"/>
      <c r="C38" s="115"/>
      <c r="D38" s="115" t="s">
        <v>222</v>
      </c>
      <c r="E38" s="115" t="s">
        <v>223</v>
      </c>
      <c r="F38" s="123" t="s">
        <v>194</v>
      </c>
    </row>
    <row r="39" spans="1:6" ht="12.75" customHeight="1" hidden="1">
      <c r="A39" s="109" t="s">
        <v>227</v>
      </c>
      <c r="B39" s="110"/>
      <c r="C39" s="115"/>
      <c r="D39" s="132">
        <v>0</v>
      </c>
      <c r="E39" s="115">
        <v>6</v>
      </c>
      <c r="F39" s="124">
        <f>D39*E39</f>
        <v>0</v>
      </c>
    </row>
    <row r="40" spans="1:6" ht="12.75" customHeight="1" hidden="1">
      <c r="A40" s="109" t="s">
        <v>239</v>
      </c>
      <c r="B40" s="110"/>
      <c r="C40" s="115"/>
      <c r="D40" s="132">
        <v>0</v>
      </c>
      <c r="E40" s="115">
        <v>12</v>
      </c>
      <c r="F40" s="124">
        <f>D40*E40</f>
        <v>0</v>
      </c>
    </row>
    <row r="41" spans="1:6" ht="12.75" customHeight="1" hidden="1">
      <c r="A41" s="109" t="s">
        <v>240</v>
      </c>
      <c r="B41" s="110"/>
      <c r="C41" s="115"/>
      <c r="D41" s="132">
        <v>0</v>
      </c>
      <c r="E41" s="115">
        <v>6</v>
      </c>
      <c r="F41" s="124">
        <f>D41*E41</f>
        <v>0</v>
      </c>
    </row>
    <row r="42" spans="1:6" ht="12.75" customHeight="1" hidden="1">
      <c r="A42" s="109" t="s">
        <v>27</v>
      </c>
      <c r="B42" s="110"/>
      <c r="C42" s="145"/>
      <c r="D42" s="110"/>
      <c r="E42" s="110"/>
      <c r="F42" s="98">
        <f>SUM(F39:F41)</f>
        <v>0</v>
      </c>
    </row>
    <row r="43" spans="1:6" ht="12.75" customHeight="1" hidden="1">
      <c r="A43" s="109" t="s">
        <v>241</v>
      </c>
      <c r="B43" s="110"/>
      <c r="C43" s="110"/>
      <c r="D43" s="110"/>
      <c r="E43" s="110"/>
      <c r="F43" s="146">
        <f>'Inform.'!K55</f>
        <v>100000</v>
      </c>
    </row>
    <row r="44" spans="1:6" ht="12.75" customHeight="1" hidden="1">
      <c r="A44" s="89" t="s">
        <v>102</v>
      </c>
      <c r="B44" s="110"/>
      <c r="C44" s="110"/>
      <c r="D44" s="110"/>
      <c r="E44" s="110"/>
      <c r="F44" s="103">
        <f>F42/F43</f>
        <v>0</v>
      </c>
    </row>
    <row r="45" spans="1:6" ht="12.75" customHeight="1">
      <c r="A45" s="90"/>
      <c r="B45" s="110"/>
      <c r="C45" s="110"/>
      <c r="D45" s="240"/>
      <c r="E45" s="240"/>
      <c r="F45" s="240"/>
    </row>
    <row r="46" spans="1:6" ht="12.75" customHeight="1">
      <c r="A46" s="68" t="s">
        <v>268</v>
      </c>
      <c r="B46" s="110"/>
      <c r="C46" s="115"/>
      <c r="D46" s="115" t="s">
        <v>222</v>
      </c>
      <c r="E46" s="115" t="s">
        <v>223</v>
      </c>
      <c r="F46" s="123" t="s">
        <v>194</v>
      </c>
    </row>
    <row r="47" spans="1:6" ht="12.75" customHeight="1">
      <c r="A47" s="109" t="s">
        <v>269</v>
      </c>
      <c r="B47" s="110"/>
      <c r="C47" s="115"/>
      <c r="D47" s="132">
        <v>1517</v>
      </c>
      <c r="E47" s="115">
        <v>6</v>
      </c>
      <c r="F47" s="124">
        <f>D47*E47</f>
        <v>9102</v>
      </c>
    </row>
    <row r="48" spans="1:6" ht="12.75" customHeight="1">
      <c r="A48" s="109" t="s">
        <v>239</v>
      </c>
      <c r="B48" s="110"/>
      <c r="C48" s="115"/>
      <c r="D48" s="132">
        <v>490</v>
      </c>
      <c r="E48" s="115">
        <v>9</v>
      </c>
      <c r="F48" s="124">
        <f>D48*E48</f>
        <v>4410</v>
      </c>
    </row>
    <row r="49" spans="1:6" ht="12.75" customHeight="1">
      <c r="A49" s="109" t="s">
        <v>27</v>
      </c>
      <c r="B49" s="110"/>
      <c r="C49" s="148"/>
      <c r="D49" s="110"/>
      <c r="E49" s="110"/>
      <c r="F49" s="98">
        <f>SUM(F47:F48)</f>
        <v>13512</v>
      </c>
    </row>
    <row r="50" spans="1:6" ht="12.75" customHeight="1">
      <c r="A50" s="15" t="s">
        <v>28</v>
      </c>
      <c r="B50" s="1"/>
      <c r="C50" s="1"/>
      <c r="D50" s="1"/>
      <c r="E50" s="1"/>
      <c r="F50" s="40">
        <v>210000</v>
      </c>
    </row>
    <row r="51" spans="1:6" ht="12.75" customHeight="1">
      <c r="A51" s="29" t="s">
        <v>101</v>
      </c>
      <c r="B51" s="1"/>
      <c r="C51" s="1"/>
      <c r="D51" s="1"/>
      <c r="E51" s="1"/>
      <c r="F51" s="83">
        <f>F49/F50</f>
        <v>0.06434285714285715</v>
      </c>
    </row>
    <row r="52" spans="1:6" ht="12.75" customHeight="1">
      <c r="A52" s="1"/>
      <c r="B52" s="1"/>
      <c r="C52" s="1"/>
      <c r="D52" s="1"/>
      <c r="E52" s="1"/>
      <c r="F52" s="13"/>
    </row>
    <row r="53" spans="1:6" ht="12.75" customHeight="1">
      <c r="A53" s="29" t="s">
        <v>29</v>
      </c>
      <c r="B53" s="1"/>
      <c r="C53" s="1"/>
      <c r="D53" s="26" t="s">
        <v>30</v>
      </c>
      <c r="E53" s="26" t="s">
        <v>31</v>
      </c>
      <c r="F53" s="38" t="s">
        <v>32</v>
      </c>
    </row>
    <row r="54" spans="1:6" ht="12.75" customHeight="1" hidden="1">
      <c r="A54" s="15" t="s">
        <v>104</v>
      </c>
      <c r="B54" s="1"/>
      <c r="C54" s="1"/>
      <c r="D54" s="28">
        <f>F34</f>
        <v>7644</v>
      </c>
      <c r="E54" s="35">
        <v>0</v>
      </c>
      <c r="F54" s="39">
        <f>D54*E54</f>
        <v>0</v>
      </c>
    </row>
    <row r="55" spans="1:6" ht="12.75" customHeight="1" hidden="1">
      <c r="A55" s="1" t="s">
        <v>105</v>
      </c>
      <c r="B55" s="1"/>
      <c r="C55" s="1"/>
      <c r="D55" s="28">
        <f>F42</f>
        <v>0</v>
      </c>
      <c r="E55" s="35">
        <v>0</v>
      </c>
      <c r="F55" s="39">
        <f>D55*E55</f>
        <v>0</v>
      </c>
    </row>
    <row r="56" spans="1:6" ht="12.75" customHeight="1">
      <c r="A56" s="1" t="s">
        <v>101</v>
      </c>
      <c r="B56" s="1"/>
      <c r="C56" s="1"/>
      <c r="D56" s="28">
        <f>F49</f>
        <v>13512</v>
      </c>
      <c r="E56" s="35">
        <v>34</v>
      </c>
      <c r="F56" s="39">
        <f>D56*E56</f>
        <v>459408</v>
      </c>
    </row>
    <row r="57" spans="1:6" ht="12.75" customHeight="1">
      <c r="A57" s="15" t="s">
        <v>33</v>
      </c>
      <c r="B57" s="1"/>
      <c r="C57" s="1"/>
      <c r="D57" s="42"/>
      <c r="E57" s="148">
        <v>34</v>
      </c>
      <c r="F57" s="39">
        <f>SUM(F54:F56)</f>
        <v>459408</v>
      </c>
    </row>
    <row r="58" spans="1:6" ht="12.75" customHeight="1">
      <c r="A58" s="1" t="s">
        <v>34</v>
      </c>
      <c r="B58" s="1"/>
      <c r="C58" s="1"/>
      <c r="D58" s="42"/>
      <c r="E58" s="35"/>
      <c r="F58" s="39">
        <f>F57/E57</f>
        <v>13512</v>
      </c>
    </row>
    <row r="59" spans="1:6" ht="12.75" customHeight="1">
      <c r="A59" s="15" t="s">
        <v>28</v>
      </c>
      <c r="B59" s="1"/>
      <c r="C59" s="1"/>
      <c r="D59" s="1"/>
      <c r="E59" s="1"/>
      <c r="F59" s="40">
        <v>210000</v>
      </c>
    </row>
    <row r="60" spans="1:6" ht="12.75" customHeight="1">
      <c r="A60" s="29" t="s">
        <v>161</v>
      </c>
      <c r="B60" s="1"/>
      <c r="C60" s="1"/>
      <c r="D60" s="43"/>
      <c r="E60" s="41"/>
      <c r="F60" s="83">
        <f>F58/F59</f>
        <v>0.06434285714285715</v>
      </c>
    </row>
    <row r="61" spans="1:6" ht="12.75" customHeight="1">
      <c r="A61" s="1"/>
      <c r="B61" s="1"/>
      <c r="C61" s="1"/>
      <c r="D61" s="1"/>
      <c r="E61" s="1"/>
      <c r="F61" s="1"/>
    </row>
    <row r="62" spans="1:6" ht="12.75" customHeight="1">
      <c r="A62" s="32" t="s">
        <v>35</v>
      </c>
      <c r="B62" s="42"/>
      <c r="C62" s="26"/>
      <c r="D62" s="26"/>
      <c r="E62" s="26"/>
      <c r="F62" s="26"/>
    </row>
    <row r="63" spans="1:6" ht="12.75" customHeight="1">
      <c r="A63" s="34" t="s">
        <v>24</v>
      </c>
      <c r="B63" s="1"/>
      <c r="C63" s="1"/>
      <c r="D63" s="36"/>
      <c r="E63" s="44"/>
      <c r="F63" s="13">
        <f>F13</f>
        <v>1.240029411764706</v>
      </c>
    </row>
    <row r="64" spans="1:6" ht="12.75" customHeight="1">
      <c r="A64" s="34" t="s">
        <v>25</v>
      </c>
      <c r="B64" s="1"/>
      <c r="C64" s="1"/>
      <c r="D64" s="36"/>
      <c r="E64" s="44"/>
      <c r="F64" s="13">
        <f>F28</f>
        <v>0.16885333333333333</v>
      </c>
    </row>
    <row r="65" spans="1:6" ht="12.75" customHeight="1">
      <c r="A65" s="34" t="s">
        <v>36</v>
      </c>
      <c r="B65" s="1"/>
      <c r="C65" s="1"/>
      <c r="D65" s="36"/>
      <c r="E65" s="44"/>
      <c r="F65" s="13">
        <f>F60</f>
        <v>0.06434285714285715</v>
      </c>
    </row>
    <row r="66" spans="1:6" ht="12.75" customHeight="1">
      <c r="A66" s="32" t="s">
        <v>162</v>
      </c>
      <c r="B66" s="1"/>
      <c r="C66" s="1"/>
      <c r="D66" s="36"/>
      <c r="E66" s="44"/>
      <c r="F66" s="83">
        <f>SUM(F63:F65)</f>
        <v>1.4732256022408965</v>
      </c>
    </row>
    <row r="67" spans="1:6" ht="36.75" customHeight="1">
      <c r="A67" s="1"/>
      <c r="B67" s="1"/>
      <c r="C67" s="1"/>
      <c r="D67" s="1"/>
      <c r="E67" s="27"/>
      <c r="F67" s="1"/>
    </row>
    <row r="68" spans="1:6" ht="12.75" customHeight="1">
      <c r="A68" s="89" t="s">
        <v>221</v>
      </c>
      <c r="B68" s="110"/>
      <c r="C68" s="110"/>
      <c r="D68" s="110"/>
      <c r="E68" s="142"/>
      <c r="F68" s="110"/>
    </row>
    <row r="69" spans="1:6" ht="12.75" customHeight="1" hidden="1">
      <c r="A69" s="94" t="s">
        <v>84</v>
      </c>
      <c r="B69" s="90"/>
      <c r="C69" s="115" t="s">
        <v>191</v>
      </c>
      <c r="D69" s="115" t="s">
        <v>192</v>
      </c>
      <c r="E69" s="115" t="s">
        <v>193</v>
      </c>
      <c r="F69" s="123" t="s">
        <v>194</v>
      </c>
    </row>
    <row r="70" spans="1:6" s="88" customFormat="1" ht="12.75" customHeight="1" hidden="1">
      <c r="A70" s="110" t="s">
        <v>206</v>
      </c>
      <c r="B70" s="110"/>
      <c r="C70" s="115">
        <v>0</v>
      </c>
      <c r="D70" s="115">
        <v>0</v>
      </c>
      <c r="E70" s="132">
        <v>130000</v>
      </c>
      <c r="F70" s="133">
        <f>D70*E70</f>
        <v>0</v>
      </c>
    </row>
    <row r="71" spans="1:6" ht="12.75" customHeight="1" hidden="1">
      <c r="A71" s="110" t="s">
        <v>190</v>
      </c>
      <c r="B71" s="110"/>
      <c r="C71" s="115">
        <v>0</v>
      </c>
      <c r="D71" s="115">
        <v>0</v>
      </c>
      <c r="E71" s="132">
        <v>100000</v>
      </c>
      <c r="F71" s="133">
        <f>D71*E71</f>
        <v>0</v>
      </c>
    </row>
    <row r="72" spans="1:6" ht="12.75" customHeight="1" hidden="1">
      <c r="A72" s="110" t="s">
        <v>186</v>
      </c>
      <c r="B72" s="110"/>
      <c r="C72" s="115">
        <v>0</v>
      </c>
      <c r="D72" s="115">
        <v>0</v>
      </c>
      <c r="E72" s="132">
        <v>0</v>
      </c>
      <c r="F72" s="133">
        <f>D72*E72</f>
        <v>0</v>
      </c>
    </row>
    <row r="73" spans="1:6" ht="12.75" customHeight="1" hidden="1">
      <c r="A73" s="89" t="s">
        <v>107</v>
      </c>
      <c r="B73" s="110"/>
      <c r="C73" s="90"/>
      <c r="D73" s="91">
        <f>SUM(D70:D72)</f>
        <v>0</v>
      </c>
      <c r="E73" s="143"/>
      <c r="F73" s="92">
        <f>SUM(F70:F72)</f>
        <v>0</v>
      </c>
    </row>
    <row r="74" spans="1:6" ht="12.75" customHeight="1" hidden="1">
      <c r="A74" s="89" t="s">
        <v>163</v>
      </c>
      <c r="B74" s="110"/>
      <c r="C74" s="115"/>
      <c r="D74" s="110"/>
      <c r="E74" s="110"/>
      <c r="F74" s="93">
        <v>0</v>
      </c>
    </row>
    <row r="75" spans="1:6" ht="9" customHeight="1" hidden="1">
      <c r="A75" s="110"/>
      <c r="B75" s="110"/>
      <c r="C75" s="115"/>
      <c r="D75" s="110"/>
      <c r="E75" s="110"/>
      <c r="F75" s="110"/>
    </row>
    <row r="76" spans="1:6" ht="12.75" customHeight="1" hidden="1">
      <c r="A76" s="94" t="s">
        <v>228</v>
      </c>
      <c r="B76" s="90"/>
      <c r="C76" s="115" t="s">
        <v>191</v>
      </c>
      <c r="D76" s="115" t="s">
        <v>192</v>
      </c>
      <c r="E76" s="115" t="s">
        <v>193</v>
      </c>
      <c r="F76" s="123" t="s">
        <v>194</v>
      </c>
    </row>
    <row r="77" spans="1:6" ht="12.75" customHeight="1" hidden="1">
      <c r="A77" s="109" t="s">
        <v>187</v>
      </c>
      <c r="B77" s="110"/>
      <c r="C77" s="115">
        <v>1999</v>
      </c>
      <c r="D77" s="115">
        <v>0</v>
      </c>
      <c r="E77" s="132">
        <v>50000</v>
      </c>
      <c r="F77" s="124">
        <f>D77*E77</f>
        <v>0</v>
      </c>
    </row>
    <row r="78" spans="1:6" ht="12.75" customHeight="1" hidden="1">
      <c r="A78" s="109" t="s">
        <v>187</v>
      </c>
      <c r="B78" s="110"/>
      <c r="C78" s="115">
        <v>2000</v>
      </c>
      <c r="D78" s="115">
        <v>0</v>
      </c>
      <c r="E78" s="132">
        <v>60000</v>
      </c>
      <c r="F78" s="124">
        <f>D78*E78</f>
        <v>0</v>
      </c>
    </row>
    <row r="79" spans="1:6" ht="12.75" customHeight="1" hidden="1">
      <c r="A79" s="109" t="s">
        <v>188</v>
      </c>
      <c r="B79" s="110"/>
      <c r="C79" s="115">
        <v>2001</v>
      </c>
      <c r="D79" s="115">
        <v>0</v>
      </c>
      <c r="E79" s="132">
        <v>65000</v>
      </c>
      <c r="F79" s="124">
        <f>D79*E79</f>
        <v>0</v>
      </c>
    </row>
    <row r="80" spans="1:6" ht="12.75" customHeight="1" hidden="1">
      <c r="A80" s="109" t="s">
        <v>189</v>
      </c>
      <c r="B80" s="110"/>
      <c r="C80" s="115">
        <v>2001</v>
      </c>
      <c r="D80" s="115">
        <v>0</v>
      </c>
      <c r="E80" s="132">
        <v>65000</v>
      </c>
      <c r="F80" s="124">
        <f>D80*E80</f>
        <v>0</v>
      </c>
    </row>
    <row r="81" spans="1:6" s="88" customFormat="1" ht="12.75" customHeight="1" hidden="1">
      <c r="A81" s="109" t="s">
        <v>230</v>
      </c>
      <c r="B81" s="110"/>
      <c r="C81" s="115">
        <v>0</v>
      </c>
      <c r="D81" s="115">
        <v>0</v>
      </c>
      <c r="E81" s="132">
        <v>90000</v>
      </c>
      <c r="F81" s="124">
        <f>D81*E81</f>
        <v>0</v>
      </c>
    </row>
    <row r="82" spans="1:6" ht="12.75" customHeight="1" hidden="1">
      <c r="A82" s="89" t="s">
        <v>106</v>
      </c>
      <c r="B82" s="96"/>
      <c r="C82" s="96"/>
      <c r="D82" s="115">
        <f>SUM(D77:D81)</f>
        <v>0</v>
      </c>
      <c r="E82" s="110"/>
      <c r="F82" s="98">
        <f>SUM(F77:F81)</f>
        <v>0</v>
      </c>
    </row>
    <row r="83" spans="1:6" ht="12.75" customHeight="1" hidden="1">
      <c r="A83" s="89" t="s">
        <v>164</v>
      </c>
      <c r="B83" s="96"/>
      <c r="C83" s="96"/>
      <c r="D83" s="115"/>
      <c r="E83" s="110"/>
      <c r="F83" s="99">
        <v>0</v>
      </c>
    </row>
    <row r="84" spans="1:6" ht="6.75" customHeight="1" hidden="1">
      <c r="A84" s="90"/>
      <c r="B84" s="100"/>
      <c r="C84" s="125"/>
      <c r="D84" s="125"/>
      <c r="E84" s="100"/>
      <c r="F84" s="100" t="s">
        <v>26</v>
      </c>
    </row>
    <row r="85" spans="1:6" ht="12.75" customHeight="1">
      <c r="A85" s="94"/>
      <c r="B85" s="90"/>
      <c r="C85" s="115" t="s">
        <v>191</v>
      </c>
      <c r="D85" s="115" t="s">
        <v>192</v>
      </c>
      <c r="E85" s="115" t="s">
        <v>193</v>
      </c>
      <c r="F85" s="123" t="s">
        <v>194</v>
      </c>
    </row>
    <row r="86" spans="1:6" s="88" customFormat="1" ht="12.75" customHeight="1">
      <c r="A86" s="109" t="s">
        <v>248</v>
      </c>
      <c r="B86" s="90"/>
      <c r="C86" s="115"/>
      <c r="D86" s="117">
        <v>15</v>
      </c>
      <c r="E86" s="201">
        <v>83013</v>
      </c>
      <c r="F86" s="124">
        <f>E86*D86</f>
        <v>1245195</v>
      </c>
    </row>
    <row r="87" spans="1:6" s="88" customFormat="1" ht="12.75" customHeight="1">
      <c r="A87" s="109" t="s">
        <v>276</v>
      </c>
      <c r="B87" s="90"/>
      <c r="C87" s="115"/>
      <c r="D87" s="117">
        <v>22</v>
      </c>
      <c r="E87" s="202">
        <v>90128</v>
      </c>
      <c r="F87" s="124">
        <f>D87*E87</f>
        <v>1982816</v>
      </c>
    </row>
    <row r="88" spans="1:6" ht="12.75" customHeight="1">
      <c r="A88" s="89" t="s">
        <v>73</v>
      </c>
      <c r="B88" s="96"/>
      <c r="C88" s="96"/>
      <c r="D88" s="117">
        <f>SUM(D86:D87)</f>
        <v>37</v>
      </c>
      <c r="E88" s="110"/>
      <c r="F88" s="98">
        <f>SUM(F86:F87)</f>
        <v>3228011</v>
      </c>
    </row>
    <row r="89" spans="1:6" ht="12.75" customHeight="1">
      <c r="A89" s="89" t="s">
        <v>165</v>
      </c>
      <c r="B89" s="96"/>
      <c r="C89" s="96"/>
      <c r="D89" s="110"/>
      <c r="E89" s="110"/>
      <c r="F89" s="155">
        <f>F88/D88</f>
        <v>87243.54054054055</v>
      </c>
    </row>
    <row r="90" spans="1:6" ht="6.75" customHeight="1">
      <c r="A90" s="90"/>
      <c r="B90" s="110"/>
      <c r="C90" s="127"/>
      <c r="D90" s="143"/>
      <c r="E90" s="143"/>
      <c r="F90" s="143"/>
    </row>
    <row r="91" spans="1:9" ht="12.75" customHeight="1">
      <c r="A91" s="110" t="s">
        <v>213</v>
      </c>
      <c r="B91" s="110"/>
      <c r="C91" s="125"/>
      <c r="D91" s="125"/>
      <c r="E91" s="125" t="s">
        <v>256</v>
      </c>
      <c r="F91" s="115" t="s">
        <v>214</v>
      </c>
      <c r="I91" s="67"/>
    </row>
    <row r="92" spans="1:6" ht="12.75" customHeight="1">
      <c r="A92" s="110" t="s">
        <v>38</v>
      </c>
      <c r="B92" s="110"/>
      <c r="C92" s="132"/>
      <c r="D92" s="132"/>
      <c r="E92" s="132">
        <f>F88</f>
        <v>3228011</v>
      </c>
      <c r="F92" s="133">
        <f>SUM(C92:E92)</f>
        <v>3228011</v>
      </c>
    </row>
    <row r="93" spans="1:6" ht="12.75" customHeight="1">
      <c r="A93" s="109" t="s">
        <v>261</v>
      </c>
      <c r="B93" s="110"/>
      <c r="C93" s="96"/>
      <c r="D93" s="117"/>
      <c r="E93" s="134"/>
      <c r="F93" s="150">
        <f>D73+D82+D88</f>
        <v>37</v>
      </c>
    </row>
    <row r="94" spans="1:6" ht="12.75" customHeight="1">
      <c r="A94" s="110" t="s">
        <v>166</v>
      </c>
      <c r="B94" s="110"/>
      <c r="C94" s="110"/>
      <c r="D94" s="96"/>
      <c r="E94" s="110"/>
      <c r="F94" s="124">
        <f>F92/F93</f>
        <v>87243.54054054055</v>
      </c>
    </row>
    <row r="95" spans="1:6" ht="12.75">
      <c r="A95" s="110"/>
      <c r="B95" s="110"/>
      <c r="C95" s="110"/>
      <c r="D95" s="110"/>
      <c r="E95" s="110"/>
      <c r="F95" s="135"/>
    </row>
    <row r="96" spans="1:6" ht="12.75" customHeight="1">
      <c r="A96" s="109" t="s">
        <v>215</v>
      </c>
      <c r="B96" s="110"/>
      <c r="C96" s="129"/>
      <c r="D96" s="134"/>
      <c r="E96" s="134"/>
      <c r="F96" s="135"/>
    </row>
    <row r="97" spans="1:6" ht="12.75" customHeight="1">
      <c r="A97" s="110" t="s">
        <v>166</v>
      </c>
      <c r="B97" s="110"/>
      <c r="C97" s="110"/>
      <c r="D97" s="110"/>
      <c r="E97" s="109"/>
      <c r="F97" s="124">
        <f>F94</f>
        <v>87243.54054054055</v>
      </c>
    </row>
    <row r="98" spans="1:6" ht="12.75" customHeight="1">
      <c r="A98" s="110" t="s">
        <v>216</v>
      </c>
      <c r="B98" s="110"/>
      <c r="C98" s="110"/>
      <c r="D98" s="96"/>
      <c r="E98" s="109"/>
      <c r="F98" s="124">
        <f>F58</f>
        <v>13512</v>
      </c>
    </row>
    <row r="99" spans="1:6" ht="12" customHeight="1">
      <c r="A99" s="110" t="s">
        <v>167</v>
      </c>
      <c r="B99" s="110"/>
      <c r="C99" s="110"/>
      <c r="D99" s="110"/>
      <c r="E99" s="109"/>
      <c r="F99" s="124">
        <v>50961</v>
      </c>
    </row>
    <row r="100" spans="1:6" ht="31.5" customHeight="1">
      <c r="A100" s="207" t="s">
        <v>217</v>
      </c>
      <c r="B100" s="208"/>
      <c r="C100" s="110"/>
      <c r="D100" s="110"/>
      <c r="E100" s="109"/>
      <c r="F100" s="136"/>
    </row>
    <row r="101" spans="1:6" ht="12.75" customHeight="1">
      <c r="A101" s="94" t="s">
        <v>218</v>
      </c>
      <c r="B101" s="110"/>
      <c r="C101" s="80" t="s">
        <v>138</v>
      </c>
      <c r="D101" s="110"/>
      <c r="E101" s="125"/>
      <c r="F101" s="138"/>
    </row>
    <row r="102" spans="1:6" ht="12.75" customHeight="1">
      <c r="A102" s="137"/>
      <c r="B102" s="125" t="s">
        <v>139</v>
      </c>
      <c r="C102" s="80" t="s">
        <v>140</v>
      </c>
      <c r="D102" s="80" t="s">
        <v>135</v>
      </c>
      <c r="E102" s="125" t="s">
        <v>141</v>
      </c>
      <c r="F102" s="125" t="s">
        <v>118</v>
      </c>
    </row>
    <row r="103" spans="1:6" ht="12.75" customHeight="1" hidden="1">
      <c r="A103" s="110" t="s">
        <v>136</v>
      </c>
      <c r="B103" s="133">
        <f>F82</f>
        <v>0</v>
      </c>
      <c r="C103" s="128">
        <f>F58*D82</f>
        <v>0</v>
      </c>
      <c r="D103" s="78">
        <f>B103-C103</f>
        <v>0</v>
      </c>
      <c r="E103" s="111"/>
      <c r="F103" s="112">
        <f>D103*E103</f>
        <v>0</v>
      </c>
    </row>
    <row r="104" spans="1:6" ht="12.75" customHeight="1">
      <c r="A104" s="110" t="s">
        <v>137</v>
      </c>
      <c r="B104" s="128">
        <f>F88</f>
        <v>3228011</v>
      </c>
      <c r="C104" s="128">
        <f>F58*D88</f>
        <v>499944</v>
      </c>
      <c r="D104" s="78">
        <f>B104-C104</f>
        <v>2728067</v>
      </c>
      <c r="E104" s="111">
        <f>1/120</f>
        <v>0.008333333333333333</v>
      </c>
      <c r="F104" s="112">
        <f>D104*E104</f>
        <v>22733.891666666666</v>
      </c>
    </row>
    <row r="105" spans="1:6" ht="12.75" customHeight="1">
      <c r="A105" s="109" t="s">
        <v>219</v>
      </c>
      <c r="B105" s="110"/>
      <c r="C105" s="110"/>
      <c r="D105" s="110"/>
      <c r="E105" s="133"/>
      <c r="F105" s="112">
        <f>SUM(F103:F104)</f>
        <v>22733.891666666666</v>
      </c>
    </row>
    <row r="106" spans="1:6" ht="12.75" customHeight="1">
      <c r="A106" s="109" t="s">
        <v>112</v>
      </c>
      <c r="B106" s="110"/>
      <c r="C106" s="110"/>
      <c r="D106" s="110"/>
      <c r="E106" s="133"/>
      <c r="F106" s="152">
        <v>93600</v>
      </c>
    </row>
    <row r="107" spans="1:6" ht="12.75" customHeight="1">
      <c r="A107" s="109" t="s">
        <v>168</v>
      </c>
      <c r="B107" s="110"/>
      <c r="C107" s="110"/>
      <c r="D107" s="110"/>
      <c r="E107" s="133"/>
      <c r="F107" s="205">
        <f>F105/F106</f>
        <v>0.24288345797720798</v>
      </c>
    </row>
    <row r="108" spans="1:6" ht="6" customHeight="1">
      <c r="A108" s="109"/>
      <c r="B108" s="110"/>
      <c r="C108" s="110"/>
      <c r="D108" s="110"/>
      <c r="E108" s="133"/>
      <c r="F108" s="140"/>
    </row>
    <row r="109" spans="1:6" ht="12.75" customHeight="1">
      <c r="A109" s="137" t="s">
        <v>220</v>
      </c>
      <c r="B109" s="110"/>
      <c r="C109" s="115"/>
      <c r="D109" s="141"/>
      <c r="E109" s="125"/>
      <c r="F109" s="123"/>
    </row>
    <row r="110" spans="1:6" ht="12.75" customHeight="1">
      <c r="A110" s="110"/>
      <c r="B110" s="115" t="s">
        <v>142</v>
      </c>
      <c r="C110" s="141">
        <v>0.2</v>
      </c>
      <c r="D110" s="123" t="s">
        <v>41</v>
      </c>
      <c r="E110" s="125" t="s">
        <v>141</v>
      </c>
      <c r="F110" s="125" t="s">
        <v>118</v>
      </c>
    </row>
    <row r="111" spans="1:6" ht="12.75" customHeight="1">
      <c r="A111" s="45" t="s">
        <v>254</v>
      </c>
      <c r="B111" s="25">
        <f>D104</f>
        <v>2728067</v>
      </c>
      <c r="C111" s="25">
        <f>B111*0.2</f>
        <v>545613.4</v>
      </c>
      <c r="D111" s="47">
        <f>B111-C111</f>
        <v>2182453.6</v>
      </c>
      <c r="E111" s="81">
        <f>E104</f>
        <v>0.008333333333333333</v>
      </c>
      <c r="F111" s="82">
        <f>D111*E111</f>
        <v>18187.113333333335</v>
      </c>
    </row>
    <row r="112" spans="1:6" ht="12.75" customHeight="1">
      <c r="A112" s="1" t="s">
        <v>180</v>
      </c>
      <c r="B112" s="1"/>
      <c r="C112" s="1"/>
      <c r="D112" s="1"/>
      <c r="E112" s="1"/>
      <c r="F112" s="82">
        <f>SUM(F111:F111)</f>
        <v>18187.113333333335</v>
      </c>
    </row>
    <row r="113" spans="1:6" ht="12.75" customHeight="1">
      <c r="A113" s="15" t="s">
        <v>40</v>
      </c>
      <c r="B113" s="1"/>
      <c r="C113" s="1"/>
      <c r="D113" s="1"/>
      <c r="E113" s="1"/>
      <c r="F113" s="153">
        <v>93600</v>
      </c>
    </row>
    <row r="114" spans="1:6" ht="12.75" customHeight="1">
      <c r="A114" s="29" t="s">
        <v>169</v>
      </c>
      <c r="B114" s="1"/>
      <c r="C114" s="1"/>
      <c r="D114" s="1"/>
      <c r="E114" s="1"/>
      <c r="F114" s="151">
        <f>F112/F113</f>
        <v>0.1943067663817664</v>
      </c>
    </row>
    <row r="115" spans="1:6" ht="8.25" customHeight="1">
      <c r="A115" s="1"/>
      <c r="B115" s="1"/>
      <c r="C115" s="1"/>
      <c r="D115" s="1"/>
      <c r="E115" s="1"/>
      <c r="F115" s="140"/>
    </row>
    <row r="116" spans="1:6" ht="12.75" customHeight="1">
      <c r="A116" s="32" t="s">
        <v>123</v>
      </c>
      <c r="B116" s="42"/>
      <c r="C116" s="26"/>
      <c r="D116" s="20" t="s">
        <v>39</v>
      </c>
      <c r="E116" s="20" t="s">
        <v>42</v>
      </c>
      <c r="F116" s="125" t="s">
        <v>118</v>
      </c>
    </row>
    <row r="117" spans="1:6" ht="12.75" customHeight="1">
      <c r="A117" s="15" t="s">
        <v>181</v>
      </c>
      <c r="B117" s="1"/>
      <c r="C117" s="1"/>
      <c r="D117" s="13">
        <f>F92*0.1</f>
        <v>322801.10000000003</v>
      </c>
      <c r="E117" s="13">
        <f>E111</f>
        <v>0.008333333333333333</v>
      </c>
      <c r="F117" s="112">
        <f>D117*E117</f>
        <v>2690.0091666666667</v>
      </c>
    </row>
    <row r="118" spans="1:6" ht="12.75" customHeight="1">
      <c r="A118" s="15" t="s">
        <v>40</v>
      </c>
      <c r="B118" s="1"/>
      <c r="C118" s="1"/>
      <c r="D118" s="1"/>
      <c r="E118" s="1"/>
      <c r="F118" s="139">
        <f>F113</f>
        <v>93600</v>
      </c>
    </row>
    <row r="119" spans="1:6" ht="12.75" customHeight="1">
      <c r="A119" s="32" t="s">
        <v>170</v>
      </c>
      <c r="B119" s="1"/>
      <c r="C119" s="1"/>
      <c r="D119" s="1"/>
      <c r="E119" s="1"/>
      <c r="F119" s="83">
        <f>F117/F118</f>
        <v>0.028739414173789175</v>
      </c>
    </row>
    <row r="120" spans="1:6" ht="10.5" customHeight="1">
      <c r="A120" s="42"/>
      <c r="B120" s="1"/>
      <c r="C120" s="1"/>
      <c r="D120" s="1"/>
      <c r="E120" s="1"/>
      <c r="F120" s="39"/>
    </row>
    <row r="121" spans="1:6" ht="12.75" customHeight="1">
      <c r="A121" s="32" t="s">
        <v>124</v>
      </c>
      <c r="B121" s="42"/>
      <c r="C121" s="31"/>
      <c r="D121" s="20" t="s">
        <v>39</v>
      </c>
      <c r="E121" s="26" t="s">
        <v>43</v>
      </c>
      <c r="F121" s="26" t="s">
        <v>44</v>
      </c>
    </row>
    <row r="122" spans="1:6" ht="12.75" customHeight="1">
      <c r="A122" s="15" t="s">
        <v>182</v>
      </c>
      <c r="B122" s="1"/>
      <c r="C122" s="1"/>
      <c r="D122" s="13">
        <f>F92*0.2</f>
        <v>645602.2000000001</v>
      </c>
      <c r="E122" s="13">
        <v>0.0166</v>
      </c>
      <c r="F122" s="13">
        <f>(D122*E122)</f>
        <v>10716.99652</v>
      </c>
    </row>
    <row r="123" spans="1:6" ht="12.75" customHeight="1">
      <c r="A123" s="15" t="s">
        <v>40</v>
      </c>
      <c r="B123" s="1"/>
      <c r="C123" s="1"/>
      <c r="D123" s="1"/>
      <c r="E123" s="1"/>
      <c r="F123" s="75">
        <f>F118</f>
        <v>93600</v>
      </c>
    </row>
    <row r="124" spans="1:6" ht="12.75" customHeight="1">
      <c r="A124" s="32" t="s">
        <v>171</v>
      </c>
      <c r="B124" s="1"/>
      <c r="C124" s="1"/>
      <c r="D124" s="1"/>
      <c r="E124" s="1"/>
      <c r="F124" s="83">
        <f>F122/F123</f>
        <v>0.11449782606837608</v>
      </c>
    </row>
    <row r="125" spans="1:6" s="67" customFormat="1" ht="12.75" customHeight="1" hidden="1">
      <c r="A125" s="65"/>
      <c r="B125" s="65"/>
      <c r="C125" s="65"/>
      <c r="D125" s="65"/>
      <c r="E125" s="65"/>
      <c r="F125" s="66"/>
    </row>
    <row r="126" spans="1:6" s="67" customFormat="1" ht="12.75" customHeight="1" hidden="1">
      <c r="A126" s="68" t="s">
        <v>117</v>
      </c>
      <c r="B126" s="65"/>
      <c r="C126" s="65"/>
      <c r="D126" s="66" t="s">
        <v>114</v>
      </c>
      <c r="E126" s="69" t="s">
        <v>42</v>
      </c>
      <c r="F126" s="69" t="s">
        <v>118</v>
      </c>
    </row>
    <row r="127" spans="1:6" s="67" customFormat="1" ht="12.75" customHeight="1" hidden="1">
      <c r="A127" s="70" t="s">
        <v>115</v>
      </c>
      <c r="B127" s="65"/>
      <c r="C127" s="65"/>
      <c r="D127" s="77">
        <v>0</v>
      </c>
      <c r="E127" s="71">
        <f>1/120</f>
        <v>0.008333333333333333</v>
      </c>
      <c r="F127" s="72">
        <f>D127*E127</f>
        <v>0</v>
      </c>
    </row>
    <row r="128" spans="1:6" s="67" customFormat="1" ht="12.75" customHeight="1" hidden="1">
      <c r="A128" s="70" t="s">
        <v>112</v>
      </c>
      <c r="B128" s="65"/>
      <c r="C128" s="65"/>
      <c r="D128" s="65"/>
      <c r="E128" s="65"/>
      <c r="F128" s="86">
        <f>F113</f>
        <v>93600</v>
      </c>
    </row>
    <row r="129" spans="1:6" s="67" customFormat="1" ht="12.75" customHeight="1" hidden="1">
      <c r="A129" s="68" t="s">
        <v>116</v>
      </c>
      <c r="B129" s="65"/>
      <c r="C129" s="65"/>
      <c r="D129" s="65"/>
      <c r="E129" s="65"/>
      <c r="F129" s="84">
        <f>F127/F128</f>
        <v>0</v>
      </c>
    </row>
    <row r="130" spans="1:6" s="67" customFormat="1" ht="12.75" customHeight="1">
      <c r="A130" s="65"/>
      <c r="B130" s="65"/>
      <c r="C130" s="65"/>
      <c r="D130" s="65"/>
      <c r="E130" s="65"/>
      <c r="F130" s="66"/>
    </row>
    <row r="131" spans="1:6" ht="12.75" customHeight="1">
      <c r="A131" s="32" t="s">
        <v>45</v>
      </c>
      <c r="B131" s="42"/>
      <c r="C131" s="26"/>
      <c r="D131" s="26"/>
      <c r="E131" s="26"/>
      <c r="F131" s="30"/>
    </row>
    <row r="132" spans="1:6" ht="12.75" customHeight="1">
      <c r="A132" s="15" t="s">
        <v>147</v>
      </c>
      <c r="B132" s="1"/>
      <c r="C132" s="1"/>
      <c r="D132" s="1"/>
      <c r="E132" s="1"/>
      <c r="F132" s="13">
        <f>F112</f>
        <v>18187.113333333335</v>
      </c>
    </row>
    <row r="133" spans="1:6" ht="12.75" customHeight="1">
      <c r="A133" s="15" t="s">
        <v>46</v>
      </c>
      <c r="B133" s="1"/>
      <c r="C133" s="1"/>
      <c r="D133" s="1"/>
      <c r="E133" s="1"/>
      <c r="F133" s="13">
        <f>F117</f>
        <v>2690.0091666666667</v>
      </c>
    </row>
    <row r="134" spans="1:6" ht="12.75" customHeight="1">
      <c r="A134" s="15" t="s">
        <v>47</v>
      </c>
      <c r="B134" s="1"/>
      <c r="C134" s="1"/>
      <c r="D134" s="1"/>
      <c r="E134" s="1"/>
      <c r="F134" s="13">
        <f>F122</f>
        <v>10716.99652</v>
      </c>
    </row>
    <row r="135" spans="1:6" ht="12.75" customHeight="1">
      <c r="A135" s="109" t="s">
        <v>212</v>
      </c>
      <c r="B135" s="110"/>
      <c r="C135" s="110"/>
      <c r="D135" s="110"/>
      <c r="E135" s="110"/>
      <c r="F135" s="112">
        <f>SUM(F132:F134)</f>
        <v>31594.119020000002</v>
      </c>
    </row>
    <row r="136" spans="1:6" ht="12.75" customHeight="1">
      <c r="A136" s="109" t="s">
        <v>112</v>
      </c>
      <c r="B136" s="110"/>
      <c r="C136" s="110"/>
      <c r="D136" s="110"/>
      <c r="E136" s="110"/>
      <c r="F136" s="113">
        <f>F128</f>
        <v>93600</v>
      </c>
    </row>
    <row r="137" spans="1:6" ht="12.75" customHeight="1">
      <c r="A137" s="68" t="s">
        <v>172</v>
      </c>
      <c r="B137" s="110"/>
      <c r="C137" s="110"/>
      <c r="D137" s="110"/>
      <c r="E137" s="110"/>
      <c r="F137" s="103">
        <f>(F135/F136)</f>
        <v>0.33754400662393164</v>
      </c>
    </row>
    <row r="138" spans="1:6" ht="6.75" customHeight="1">
      <c r="A138" s="110"/>
      <c r="B138" s="110"/>
      <c r="C138" s="110"/>
      <c r="D138" s="110"/>
      <c r="E138" s="110"/>
      <c r="F138" s="114"/>
    </row>
    <row r="139" spans="1:6" ht="12.75" customHeight="1">
      <c r="A139" s="68" t="s">
        <v>195</v>
      </c>
      <c r="B139" s="90"/>
      <c r="C139" s="97"/>
      <c r="D139" s="125" t="s">
        <v>39</v>
      </c>
      <c r="E139" s="115" t="s">
        <v>196</v>
      </c>
      <c r="F139" s="115" t="s">
        <v>197</v>
      </c>
    </row>
    <row r="140" spans="1:6" ht="12.75" customHeight="1">
      <c r="A140" s="109" t="s">
        <v>307</v>
      </c>
      <c r="B140" s="110"/>
      <c r="C140" s="110"/>
      <c r="D140" s="206">
        <v>12942000</v>
      </c>
      <c r="E140" s="112">
        <v>0.005</v>
      </c>
      <c r="F140" s="112">
        <f>D140*E140</f>
        <v>64710</v>
      </c>
    </row>
    <row r="141" spans="1:6" ht="12.75" customHeight="1">
      <c r="A141" s="109" t="s">
        <v>112</v>
      </c>
      <c r="B141" s="110"/>
      <c r="C141" s="110"/>
      <c r="D141" s="110"/>
      <c r="E141" s="110"/>
      <c r="F141" s="113">
        <f>F128</f>
        <v>93600</v>
      </c>
    </row>
    <row r="142" spans="1:6" ht="12.75" customHeight="1">
      <c r="A142" s="68" t="s">
        <v>173</v>
      </c>
      <c r="B142" s="110"/>
      <c r="C142" s="110"/>
      <c r="D142" s="110"/>
      <c r="E142" s="110"/>
      <c r="F142" s="103">
        <f>(F140/F141)</f>
        <v>0.6913461538461538</v>
      </c>
    </row>
    <row r="143" spans="1:6" ht="9.75" customHeight="1">
      <c r="A143" s="110"/>
      <c r="B143" s="110"/>
      <c r="C143" s="110"/>
      <c r="D143" s="110"/>
      <c r="E143" s="110"/>
      <c r="F143" s="129" t="s">
        <v>26</v>
      </c>
    </row>
    <row r="144" spans="1:6" ht="12.75" customHeight="1">
      <c r="A144" s="68" t="s">
        <v>120</v>
      </c>
      <c r="B144" s="90"/>
      <c r="C144" s="97"/>
      <c r="D144" s="154"/>
      <c r="E144" s="97"/>
      <c r="F144" s="97"/>
    </row>
    <row r="145" spans="1:6" ht="12.75" customHeight="1">
      <c r="A145" s="68" t="s">
        <v>270</v>
      </c>
      <c r="B145" s="110"/>
      <c r="C145" s="68"/>
      <c r="D145" s="110"/>
      <c r="E145" s="110"/>
      <c r="F145" s="110"/>
    </row>
    <row r="146" spans="1:6" ht="12.75" customHeight="1">
      <c r="A146" s="110" t="s">
        <v>26</v>
      </c>
      <c r="B146" s="115" t="s">
        <v>146</v>
      </c>
      <c r="C146" s="115" t="s">
        <v>198</v>
      </c>
      <c r="D146" s="115" t="s">
        <v>229</v>
      </c>
      <c r="E146" s="115" t="s">
        <v>199</v>
      </c>
      <c r="F146" s="123" t="s">
        <v>48</v>
      </c>
    </row>
    <row r="147" spans="1:6" s="88" customFormat="1" ht="12.75" customHeight="1">
      <c r="A147" s="109" t="s">
        <v>263</v>
      </c>
      <c r="B147" s="117">
        <v>34</v>
      </c>
      <c r="C147" s="204">
        <v>1896.26</v>
      </c>
      <c r="D147" s="111">
        <v>1.3883</v>
      </c>
      <c r="E147" s="111">
        <v>1.2</v>
      </c>
      <c r="F147" s="112">
        <f>B147*C147*D147*E147</f>
        <v>107409.1725264</v>
      </c>
    </row>
    <row r="148" spans="1:6" s="88" customFormat="1" ht="12.75" customHeight="1">
      <c r="A148" s="109" t="s">
        <v>242</v>
      </c>
      <c r="B148" s="117">
        <v>3</v>
      </c>
      <c r="C148" s="204">
        <v>1896.26</v>
      </c>
      <c r="D148" s="111">
        <v>1.3883</v>
      </c>
      <c r="E148" s="111">
        <v>1.2</v>
      </c>
      <c r="F148" s="112">
        <f>B148*C148*D148*E148</f>
        <v>9477.2799288</v>
      </c>
    </row>
    <row r="149" spans="1:6" s="88" customFormat="1" ht="12.75" customHeight="1">
      <c r="A149" s="109" t="s">
        <v>260</v>
      </c>
      <c r="B149" s="117">
        <v>37</v>
      </c>
      <c r="C149" s="204">
        <v>110</v>
      </c>
      <c r="D149" s="111">
        <v>1</v>
      </c>
      <c r="E149" s="111">
        <v>1.2</v>
      </c>
      <c r="F149" s="112">
        <f>B149*C149*D149*E149</f>
        <v>4884</v>
      </c>
    </row>
    <row r="150" spans="1:6" s="88" customFormat="1" ht="12.75" customHeight="1">
      <c r="A150" s="109" t="s">
        <v>306</v>
      </c>
      <c r="B150" s="117">
        <v>37</v>
      </c>
      <c r="C150" s="204">
        <v>230</v>
      </c>
      <c r="D150" s="111">
        <v>1</v>
      </c>
      <c r="E150" s="111">
        <v>1.2</v>
      </c>
      <c r="F150" s="112">
        <f>B150*C150*D150*E150</f>
        <v>10212</v>
      </c>
    </row>
    <row r="151" ht="3" customHeight="1">
      <c r="F151" s="172">
        <f>SUM(F147:F150)</f>
        <v>131982.4524552</v>
      </c>
    </row>
    <row r="152" spans="1:6" ht="12.75" customHeight="1">
      <c r="A152" s="109" t="s">
        <v>200</v>
      </c>
      <c r="B152" s="110"/>
      <c r="C152" s="130"/>
      <c r="D152" s="131"/>
      <c r="E152" s="131"/>
      <c r="F152" s="112"/>
    </row>
    <row r="153" spans="1:6" ht="12.75" customHeight="1">
      <c r="A153" s="70" t="s">
        <v>112</v>
      </c>
      <c r="B153" s="65"/>
      <c r="C153" s="105"/>
      <c r="D153" s="106"/>
      <c r="E153" s="106"/>
      <c r="F153" s="102">
        <v>93600</v>
      </c>
    </row>
    <row r="154" spans="1:6" ht="12.75" customHeight="1">
      <c r="A154" s="68" t="s">
        <v>174</v>
      </c>
      <c r="B154" s="65"/>
      <c r="C154" s="105"/>
      <c r="D154" s="106"/>
      <c r="E154" s="106"/>
      <c r="F154" s="103">
        <f>F151/F153</f>
        <v>1.4100689364871795</v>
      </c>
    </row>
    <row r="155" spans="1:6" ht="3" customHeight="1">
      <c r="A155" s="68"/>
      <c r="B155" s="65"/>
      <c r="C155" s="105"/>
      <c r="D155" s="106"/>
      <c r="E155" s="106"/>
      <c r="F155" s="107"/>
    </row>
    <row r="156" spans="1:6" ht="12.75" customHeight="1">
      <c r="A156" s="108" t="s">
        <v>201</v>
      </c>
      <c r="B156" s="65"/>
      <c r="C156" s="108"/>
      <c r="D156" s="106" t="s">
        <v>202</v>
      </c>
      <c r="E156" s="66" t="s">
        <v>143</v>
      </c>
      <c r="F156" s="95" t="s">
        <v>48</v>
      </c>
    </row>
    <row r="157" spans="1:6" ht="12.75" customHeight="1">
      <c r="A157" s="70" t="s">
        <v>203</v>
      </c>
      <c r="B157" s="106"/>
      <c r="C157" s="96"/>
      <c r="D157" s="104">
        <f>F151</f>
        <v>131982.4524552</v>
      </c>
      <c r="E157" s="104">
        <f>10%</f>
        <v>0.1</v>
      </c>
      <c r="F157" s="101">
        <f>D157*E157</f>
        <v>13198.24524552</v>
      </c>
    </row>
    <row r="158" spans="1:6" ht="12.75" customHeight="1">
      <c r="A158" s="70" t="s">
        <v>112</v>
      </c>
      <c r="B158" s="65"/>
      <c r="C158" s="65"/>
      <c r="D158" s="65"/>
      <c r="E158" s="65"/>
      <c r="F158" s="86">
        <f>F153</f>
        <v>93600</v>
      </c>
    </row>
    <row r="159" spans="1:6" ht="12.75" customHeight="1">
      <c r="A159" s="48" t="s">
        <v>175</v>
      </c>
      <c r="B159" s="1"/>
      <c r="C159" s="1"/>
      <c r="D159" s="1"/>
      <c r="E159" s="1"/>
      <c r="F159" s="83">
        <f>F157/F158</f>
        <v>0.14100689364871796</v>
      </c>
    </row>
    <row r="160" spans="1:6" ht="65.25" customHeight="1">
      <c r="A160" s="1"/>
      <c r="B160" s="1"/>
      <c r="C160" s="1"/>
      <c r="D160" s="1"/>
      <c r="E160" s="1"/>
      <c r="F160" s="46"/>
    </row>
    <row r="161" spans="1:6" ht="12.75" customHeight="1">
      <c r="A161" s="32" t="s">
        <v>108</v>
      </c>
      <c r="B161" s="1"/>
      <c r="C161" s="1"/>
      <c r="D161" s="1"/>
      <c r="E161" s="1"/>
      <c r="F161" s="42"/>
    </row>
    <row r="162" spans="1:6" ht="12.75" customHeight="1">
      <c r="A162" s="15" t="s">
        <v>50</v>
      </c>
      <c r="B162" s="1"/>
      <c r="C162" s="1"/>
      <c r="D162" s="1"/>
      <c r="E162" s="50"/>
      <c r="F162" s="13">
        <f>F151</f>
        <v>131982.4524552</v>
      </c>
    </row>
    <row r="163" spans="1:6" ht="12.75" customHeight="1">
      <c r="A163" s="49" t="s">
        <v>51</v>
      </c>
      <c r="B163" s="1"/>
      <c r="C163" s="1"/>
      <c r="D163" s="1"/>
      <c r="E163" s="50"/>
      <c r="F163" s="13">
        <f>F157</f>
        <v>13198.24524552</v>
      </c>
    </row>
    <row r="164" spans="1:6" ht="12.75" customHeight="1">
      <c r="A164" s="1" t="s">
        <v>52</v>
      </c>
      <c r="B164" s="1"/>
      <c r="C164" s="1"/>
      <c r="D164" s="1"/>
      <c r="E164" s="50"/>
      <c r="F164" s="13">
        <f>SUM(F162:F163)</f>
        <v>145180.69770072</v>
      </c>
    </row>
    <row r="165" spans="1:6" ht="12.75" customHeight="1">
      <c r="A165" s="15" t="s">
        <v>40</v>
      </c>
      <c r="B165" s="1"/>
      <c r="C165" s="1"/>
      <c r="D165" s="1"/>
      <c r="E165" s="1"/>
      <c r="F165" s="75">
        <f>F153</f>
        <v>93600</v>
      </c>
    </row>
    <row r="166" spans="1:6" ht="12.75" customHeight="1">
      <c r="A166" s="29" t="s">
        <v>176</v>
      </c>
      <c r="B166" s="1"/>
      <c r="C166" s="1"/>
      <c r="D166" s="1"/>
      <c r="E166" s="1"/>
      <c r="F166" s="83">
        <f>F164/F165</f>
        <v>1.5510758301358973</v>
      </c>
    </row>
    <row r="167" spans="1:6" ht="17.25" customHeight="1">
      <c r="A167" s="1"/>
      <c r="B167" s="1"/>
      <c r="C167" s="1"/>
      <c r="D167" s="1"/>
      <c r="E167" s="1"/>
      <c r="F167" s="1"/>
    </row>
    <row r="168" spans="1:6" ht="12.75" customHeight="1">
      <c r="A168" s="32" t="s">
        <v>53</v>
      </c>
      <c r="B168" s="42"/>
      <c r="C168" s="31"/>
      <c r="D168" s="31"/>
      <c r="E168" s="31"/>
      <c r="F168" s="31"/>
    </row>
    <row r="169" spans="1:6" ht="12.75" customHeight="1">
      <c r="A169" s="32" t="s">
        <v>54</v>
      </c>
      <c r="B169" s="42"/>
      <c r="E169" s="26" t="s">
        <v>55</v>
      </c>
      <c r="F169" s="26" t="s">
        <v>144</v>
      </c>
    </row>
    <row r="170" spans="1:6" ht="12.75" customHeight="1">
      <c r="A170" s="1" t="s">
        <v>49</v>
      </c>
      <c r="B170" s="1"/>
      <c r="D170" s="74">
        <f>D157</f>
        <v>131982.4524552</v>
      </c>
      <c r="E170" s="37">
        <v>0.1</v>
      </c>
      <c r="F170" s="37">
        <f>D170*E170</f>
        <v>13198.24524552</v>
      </c>
    </row>
    <row r="171" spans="1:6" ht="12.75" customHeight="1">
      <c r="A171" s="109" t="s">
        <v>112</v>
      </c>
      <c r="B171" s="110"/>
      <c r="C171" s="110"/>
      <c r="D171" s="110"/>
      <c r="E171" s="110"/>
      <c r="F171" s="113">
        <f>F165</f>
        <v>93600</v>
      </c>
    </row>
    <row r="172" spans="1:6" ht="12.75" customHeight="1">
      <c r="A172" s="68" t="s">
        <v>177</v>
      </c>
      <c r="B172" s="110"/>
      <c r="C172" s="110"/>
      <c r="D172" s="110"/>
      <c r="E172" s="110"/>
      <c r="F172" s="103">
        <f>F170/F171</f>
        <v>0.14100689364871796</v>
      </c>
    </row>
    <row r="173" spans="1:6" ht="6" customHeight="1">
      <c r="A173" s="110"/>
      <c r="B173" s="110"/>
      <c r="C173" s="110"/>
      <c r="D173" s="110"/>
      <c r="E173" s="110"/>
      <c r="F173" s="114"/>
    </row>
    <row r="174" spans="1:6" ht="12.75" customHeight="1">
      <c r="A174" s="68" t="s">
        <v>207</v>
      </c>
      <c r="B174" s="90"/>
      <c r="C174" s="97"/>
      <c r="D174" s="73"/>
      <c r="E174" s="115" t="s">
        <v>208</v>
      </c>
      <c r="F174" s="115" t="s">
        <v>272</v>
      </c>
    </row>
    <row r="175" spans="1:6" ht="12.75" customHeight="1">
      <c r="A175" s="110" t="s">
        <v>203</v>
      </c>
      <c r="B175" s="110"/>
      <c r="C175" s="110"/>
      <c r="D175" s="111">
        <f>D170</f>
        <v>131982.4524552</v>
      </c>
      <c r="E175" s="74">
        <v>0.2</v>
      </c>
      <c r="F175" s="111">
        <f>D175*E175</f>
        <v>26396.49049104</v>
      </c>
    </row>
    <row r="176" spans="1:6" ht="12.75" customHeight="1">
      <c r="A176" s="109" t="s">
        <v>112</v>
      </c>
      <c r="B176" s="110"/>
      <c r="C176" s="110"/>
      <c r="D176" s="110"/>
      <c r="E176" s="110"/>
      <c r="F176" s="113">
        <f>F171</f>
        <v>93600</v>
      </c>
    </row>
    <row r="177" spans="1:6" ht="12.75" customHeight="1">
      <c r="A177" s="68" t="s">
        <v>178</v>
      </c>
      <c r="B177" s="110"/>
      <c r="C177" s="110"/>
      <c r="D177" s="110"/>
      <c r="E177" s="110"/>
      <c r="F177" s="103">
        <f>F175/F176</f>
        <v>0.2820137872974359</v>
      </c>
    </row>
    <row r="178" spans="1:6" ht="6.75" customHeight="1">
      <c r="A178" s="109"/>
      <c r="B178" s="110"/>
      <c r="C178" s="110"/>
      <c r="D178" s="110"/>
      <c r="E178" s="110"/>
      <c r="F178" s="116"/>
    </row>
    <row r="179" spans="1:6" ht="12.75" customHeight="1">
      <c r="A179" s="118" t="s">
        <v>273</v>
      </c>
      <c r="B179" s="90"/>
      <c r="C179" s="115" t="s">
        <v>231</v>
      </c>
      <c r="D179" s="115" t="s">
        <v>110</v>
      </c>
      <c r="E179" s="115" t="s">
        <v>209</v>
      </c>
      <c r="F179" s="115" t="s">
        <v>109</v>
      </c>
    </row>
    <row r="180" spans="1:6" ht="12.75" customHeight="1">
      <c r="A180" s="119" t="s">
        <v>258</v>
      </c>
      <c r="B180" s="90"/>
      <c r="C180" s="170">
        <v>280</v>
      </c>
      <c r="D180" s="173">
        <v>37</v>
      </c>
      <c r="E180" s="174">
        <f>1/12</f>
        <v>0.08333333333333333</v>
      </c>
      <c r="F180" s="175">
        <f>C180*D180*E180</f>
        <v>863.3333333333333</v>
      </c>
    </row>
    <row r="181" spans="1:6" ht="12.75" customHeight="1">
      <c r="A181" s="119" t="s">
        <v>271</v>
      </c>
      <c r="B181" s="90"/>
      <c r="C181" s="170">
        <v>1380</v>
      </c>
      <c r="D181" s="173">
        <v>37</v>
      </c>
      <c r="E181" s="174">
        <v>0.0833</v>
      </c>
      <c r="F181" s="175">
        <f>C181*D181*E181</f>
        <v>4253.298</v>
      </c>
    </row>
    <row r="182" spans="1:6" ht="12.75" customHeight="1">
      <c r="A182" s="119" t="s">
        <v>275</v>
      </c>
      <c r="B182" s="90"/>
      <c r="C182" s="170">
        <v>600</v>
      </c>
      <c r="D182" s="173">
        <v>15</v>
      </c>
      <c r="E182" s="174">
        <v>0.0833</v>
      </c>
      <c r="F182" s="175">
        <f>C182*D182*E182</f>
        <v>749.7</v>
      </c>
    </row>
    <row r="183" spans="1:6" ht="12.75" customHeight="1">
      <c r="A183" s="109"/>
      <c r="B183" s="90"/>
      <c r="C183" s="176"/>
      <c r="D183" s="177"/>
      <c r="E183" s="179"/>
      <c r="F183" s="178">
        <f>SUM(F180:F182)</f>
        <v>5866.331333333333</v>
      </c>
    </row>
    <row r="184" spans="1:6" ht="12.75" customHeight="1">
      <c r="A184" s="109" t="s">
        <v>112</v>
      </c>
      <c r="B184" s="115"/>
      <c r="C184" s="110"/>
      <c r="D184" s="121"/>
      <c r="E184" s="115"/>
      <c r="F184" s="113">
        <f>F176</f>
        <v>93600</v>
      </c>
    </row>
    <row r="185" spans="1:6" ht="12.75" customHeight="1">
      <c r="A185" s="122" t="s">
        <v>255</v>
      </c>
      <c r="B185" s="115"/>
      <c r="C185" s="110"/>
      <c r="D185" s="121"/>
      <c r="E185" s="115"/>
      <c r="F185" s="103">
        <f>F183/F184</f>
        <v>0.06267448005698005</v>
      </c>
    </row>
    <row r="186" spans="1:6" ht="5.25" customHeight="1">
      <c r="A186" s="119"/>
      <c r="B186" s="115"/>
      <c r="C186" s="110"/>
      <c r="D186" s="121"/>
      <c r="E186" s="115"/>
      <c r="F186" s="111"/>
    </row>
    <row r="187" spans="1:6" ht="12.75" customHeight="1">
      <c r="A187" s="68" t="s">
        <v>60</v>
      </c>
      <c r="B187" s="90"/>
      <c r="C187" s="115"/>
      <c r="D187" s="115"/>
      <c r="E187" s="115"/>
      <c r="F187" s="115"/>
    </row>
    <row r="188" spans="1:6" ht="12.75" customHeight="1">
      <c r="A188" s="90"/>
      <c r="B188" s="115" t="s">
        <v>210</v>
      </c>
      <c r="C188" s="115" t="s">
        <v>211</v>
      </c>
      <c r="D188" s="115" t="s">
        <v>56</v>
      </c>
      <c r="E188" s="115"/>
      <c r="F188" s="115" t="s">
        <v>48</v>
      </c>
    </row>
    <row r="189" spans="1:6" s="88" customFormat="1" ht="12.75" customHeight="1">
      <c r="A189" s="109" t="s">
        <v>308</v>
      </c>
      <c r="B189" s="121">
        <f>C147*6</f>
        <v>11377.56</v>
      </c>
      <c r="C189" s="123">
        <v>1</v>
      </c>
      <c r="D189" s="121">
        <v>1</v>
      </c>
      <c r="E189" s="209"/>
      <c r="F189" s="124">
        <f>D189*B189</f>
        <v>11377.56</v>
      </c>
    </row>
    <row r="190" spans="1:6" ht="13.5" customHeight="1">
      <c r="A190" s="109" t="s">
        <v>274</v>
      </c>
      <c r="B190" s="125"/>
      <c r="C190" s="115"/>
      <c r="D190" s="126"/>
      <c r="E190" s="127"/>
      <c r="F190" s="128">
        <f>F189*0.2</f>
        <v>2275.512</v>
      </c>
    </row>
    <row r="191" spans="1:6" ht="32.25" customHeight="1">
      <c r="A191" s="110" t="s">
        <v>111</v>
      </c>
      <c r="B191" s="115"/>
      <c r="C191" s="115"/>
      <c r="D191" s="115"/>
      <c r="E191" s="115"/>
      <c r="F191" s="120">
        <f>F189+F190</f>
        <v>13653.072</v>
      </c>
    </row>
    <row r="192" spans="1:6" ht="38.25" customHeight="1">
      <c r="A192" s="109" t="s">
        <v>112</v>
      </c>
      <c r="B192" s="171"/>
      <c r="C192" s="115"/>
      <c r="D192" s="130"/>
      <c r="E192" s="171"/>
      <c r="F192" s="113">
        <f>F176</f>
        <v>93600</v>
      </c>
    </row>
    <row r="193" spans="1:6" ht="12.75" customHeight="1">
      <c r="A193" s="34" t="s">
        <v>179</v>
      </c>
      <c r="B193" s="52"/>
      <c r="C193" s="26"/>
      <c r="D193" s="10"/>
      <c r="E193" s="52"/>
      <c r="F193" s="83">
        <f>F191/F192</f>
        <v>0.14586615384615384</v>
      </c>
    </row>
    <row r="194" spans="1:6" ht="6.75" customHeight="1">
      <c r="A194" s="15"/>
      <c r="B194" s="52"/>
      <c r="C194" s="26"/>
      <c r="D194" s="10"/>
      <c r="E194" s="52"/>
      <c r="F194" s="10"/>
    </row>
    <row r="195" spans="1:6" ht="12.75" customHeight="1">
      <c r="A195" s="32" t="s">
        <v>57</v>
      </c>
      <c r="B195" s="42"/>
      <c r="C195" s="26"/>
      <c r="D195" s="26"/>
      <c r="E195" s="87"/>
      <c r="F195" s="26"/>
    </row>
    <row r="196" spans="1:6" ht="12.75" customHeight="1">
      <c r="A196" s="15" t="s">
        <v>58</v>
      </c>
      <c r="B196" s="1"/>
      <c r="C196" s="1"/>
      <c r="D196" s="1"/>
      <c r="E196" s="1"/>
      <c r="F196" s="13">
        <f>F172</f>
        <v>0.14100689364871796</v>
      </c>
    </row>
    <row r="197" spans="1:6" ht="12.75" customHeight="1">
      <c r="A197" s="15" t="s">
        <v>59</v>
      </c>
      <c r="B197" s="1"/>
      <c r="C197" s="1"/>
      <c r="D197" s="1"/>
      <c r="E197" s="1"/>
      <c r="F197" s="13">
        <f>F177</f>
        <v>0.2820137872974359</v>
      </c>
    </row>
    <row r="198" spans="1:6" ht="12.75" customHeight="1">
      <c r="A198" s="53" t="s">
        <v>273</v>
      </c>
      <c r="B198" s="1"/>
      <c r="C198" s="1"/>
      <c r="D198" s="1"/>
      <c r="E198" s="1"/>
      <c r="F198" s="13">
        <f>F185</f>
        <v>0.06267448005698005</v>
      </c>
    </row>
    <row r="199" spans="1:6" ht="12.75" customHeight="1">
      <c r="A199" s="15" t="s">
        <v>60</v>
      </c>
      <c r="B199" s="1"/>
      <c r="C199" s="1"/>
      <c r="D199" s="1"/>
      <c r="E199" s="1"/>
      <c r="F199" s="13">
        <f>F193</f>
        <v>0.14586615384615384</v>
      </c>
    </row>
    <row r="200" spans="1:6" ht="12.75" customHeight="1">
      <c r="A200" s="32" t="s">
        <v>183</v>
      </c>
      <c r="B200" s="1"/>
      <c r="C200" s="1"/>
      <c r="D200" s="1"/>
      <c r="E200" s="1" t="s">
        <v>26</v>
      </c>
      <c r="F200" s="83">
        <f>SUM(F196:F199)</f>
        <v>0.6315613148492878</v>
      </c>
    </row>
    <row r="201" spans="1:6" ht="6.75" customHeight="1">
      <c r="A201" s="1"/>
      <c r="B201" s="1"/>
      <c r="C201" s="1"/>
      <c r="D201" s="1"/>
      <c r="E201" s="1"/>
      <c r="F201" s="30"/>
    </row>
    <row r="202" spans="1:6" ht="12.75" customHeight="1">
      <c r="A202" s="32" t="s">
        <v>61</v>
      </c>
      <c r="B202" s="42"/>
      <c r="C202" s="26"/>
      <c r="D202" s="26"/>
      <c r="E202" s="26"/>
      <c r="F202" s="30"/>
    </row>
    <row r="203" spans="1:6" ht="12.75" customHeight="1">
      <c r="A203" s="15" t="s">
        <v>62</v>
      </c>
      <c r="B203" s="1"/>
      <c r="C203" s="1"/>
      <c r="D203" s="1"/>
      <c r="E203" s="1" t="s">
        <v>26</v>
      </c>
      <c r="F203" s="13">
        <f>F137</f>
        <v>0.33754400662393164</v>
      </c>
    </row>
    <row r="204" spans="1:6" ht="12.75" customHeight="1">
      <c r="A204" s="15" t="s">
        <v>63</v>
      </c>
      <c r="B204" s="1"/>
      <c r="C204" s="1"/>
      <c r="D204" s="1"/>
      <c r="E204" s="1"/>
      <c r="F204" s="13">
        <f>F142</f>
        <v>0.6913461538461538</v>
      </c>
    </row>
    <row r="205" spans="1:6" ht="12.75" customHeight="1">
      <c r="A205" s="15" t="s">
        <v>64</v>
      </c>
      <c r="B205" s="1"/>
      <c r="C205" s="1"/>
      <c r="D205" s="1"/>
      <c r="E205" s="1"/>
      <c r="F205" s="13">
        <f>F166</f>
        <v>1.5510758301358973</v>
      </c>
    </row>
    <row r="206" spans="1:6" ht="12.75" customHeight="1">
      <c r="A206" s="15" t="s">
        <v>65</v>
      </c>
      <c r="B206" s="1"/>
      <c r="C206" s="1"/>
      <c r="D206" s="1"/>
      <c r="E206" s="1"/>
      <c r="F206" s="13">
        <f>F200</f>
        <v>0.6315613148492878</v>
      </c>
    </row>
    <row r="207" spans="1:6" ht="12.75" customHeight="1">
      <c r="A207" s="32" t="s">
        <v>184</v>
      </c>
      <c r="B207" s="1"/>
      <c r="C207" s="1"/>
      <c r="D207" s="1"/>
      <c r="E207" s="1"/>
      <c r="F207" s="83">
        <f>SUM(F203:F206)</f>
        <v>3.21152730545527</v>
      </c>
    </row>
    <row r="208" spans="1:6" ht="12.75" customHeight="1">
      <c r="A208" s="54" t="s">
        <v>67</v>
      </c>
      <c r="B208" s="1"/>
      <c r="C208" s="1"/>
      <c r="D208" s="1"/>
      <c r="E208" s="1"/>
      <c r="F208" s="1"/>
    </row>
    <row r="209" spans="1:6" ht="12.75" customHeight="1">
      <c r="A209" s="15" t="s">
        <v>37</v>
      </c>
      <c r="B209" s="1"/>
      <c r="C209" s="1"/>
      <c r="D209" s="1"/>
      <c r="E209" s="1"/>
      <c r="F209" s="13">
        <f>F66</f>
        <v>1.4732256022408965</v>
      </c>
    </row>
    <row r="210" spans="1:6" ht="12.75" customHeight="1">
      <c r="A210" s="15" t="s">
        <v>66</v>
      </c>
      <c r="B210" s="1"/>
      <c r="C210" s="1"/>
      <c r="D210" s="1"/>
      <c r="E210" s="1"/>
      <c r="F210" s="13">
        <f>F207</f>
        <v>3.21152730545527</v>
      </c>
    </row>
    <row r="211" spans="1:6" ht="12.75" customHeight="1">
      <c r="A211" s="32" t="s">
        <v>185</v>
      </c>
      <c r="B211" s="1"/>
      <c r="C211" s="1"/>
      <c r="D211" s="1"/>
      <c r="E211" s="73"/>
      <c r="F211" s="83">
        <f>F209+F210</f>
        <v>4.684752907696167</v>
      </c>
    </row>
    <row r="212" spans="1:6" ht="55.5" customHeight="1">
      <c r="A212" s="54" t="s">
        <v>279</v>
      </c>
      <c r="B212" s="29"/>
      <c r="C212" s="1"/>
      <c r="D212" s="1"/>
      <c r="E212" s="26"/>
      <c r="F212" s="13"/>
    </row>
    <row r="213" spans="1:6" ht="12.75" customHeight="1">
      <c r="A213" s="29" t="s">
        <v>68</v>
      </c>
      <c r="B213" s="26"/>
      <c r="C213" s="26" t="s">
        <v>69</v>
      </c>
      <c r="D213" s="26" t="s">
        <v>70</v>
      </c>
      <c r="E213" s="42"/>
      <c r="F213" s="55"/>
    </row>
    <row r="214" spans="1:6" ht="12.75" customHeight="1">
      <c r="A214" s="1" t="s">
        <v>71</v>
      </c>
      <c r="B214" s="42"/>
      <c r="C214" s="126">
        <v>2.5</v>
      </c>
      <c r="D214" s="26"/>
      <c r="E214" s="42"/>
      <c r="F214" s="14"/>
    </row>
    <row r="215" spans="1:6" ht="12.75" customHeight="1">
      <c r="A215" s="1" t="s">
        <v>121</v>
      </c>
      <c r="B215" s="42"/>
      <c r="C215" s="51">
        <v>0</v>
      </c>
      <c r="D215" s="26"/>
      <c r="E215" s="42"/>
      <c r="F215" s="14"/>
    </row>
    <row r="216" spans="1:6" ht="12.75" customHeight="1">
      <c r="A216" s="1" t="s">
        <v>205</v>
      </c>
      <c r="B216" s="42"/>
      <c r="C216" s="51">
        <v>0</v>
      </c>
      <c r="D216" s="26"/>
      <c r="E216" s="42"/>
      <c r="F216" s="14"/>
    </row>
    <row r="217" spans="1:6" ht="12.75" customHeight="1">
      <c r="A217" s="1" t="s">
        <v>122</v>
      </c>
      <c r="B217" s="42"/>
      <c r="C217" s="51">
        <v>0</v>
      </c>
      <c r="D217" s="26"/>
      <c r="E217" s="42"/>
      <c r="F217" s="14"/>
    </row>
    <row r="218" spans="1:6" ht="12.75" customHeight="1">
      <c r="A218" s="1" t="s">
        <v>225</v>
      </c>
      <c r="B218" s="42"/>
      <c r="C218" s="51">
        <v>2</v>
      </c>
      <c r="D218" s="26"/>
      <c r="E218" s="42"/>
      <c r="F218" s="14"/>
    </row>
    <row r="219" spans="1:6" ht="12.75" customHeight="1">
      <c r="A219" s="1" t="s">
        <v>262</v>
      </c>
      <c r="B219" s="42"/>
      <c r="C219" s="51">
        <v>7</v>
      </c>
      <c r="D219" s="26"/>
      <c r="E219" s="42"/>
      <c r="F219" s="56"/>
    </row>
    <row r="220" spans="1:6" ht="12.75" customHeight="1">
      <c r="A220" s="1" t="s">
        <v>72</v>
      </c>
      <c r="B220" s="42"/>
      <c r="C220" s="51">
        <f>SUM(C214:C219)</f>
        <v>11.5</v>
      </c>
      <c r="D220" s="9">
        <f>100/(100-C220)-1</f>
        <v>0.12994350282485878</v>
      </c>
      <c r="E220" s="42"/>
      <c r="F220" s="13">
        <f>F211*D220</f>
        <v>0.6087532026949822</v>
      </c>
    </row>
    <row r="221" spans="1:6" ht="12.75" customHeight="1">
      <c r="A221" s="210" t="s">
        <v>204</v>
      </c>
      <c r="B221" s="211"/>
      <c r="C221" s="211"/>
      <c r="D221" s="211"/>
      <c r="E221" s="212"/>
      <c r="F221" s="213">
        <f>F211+F220</f>
        <v>5.293506110391149</v>
      </c>
    </row>
    <row r="222" spans="1:6" ht="12.75">
      <c r="A222" s="214" t="s">
        <v>259</v>
      </c>
      <c r="B222" s="214"/>
      <c r="C222" s="216"/>
      <c r="D222" s="214"/>
      <c r="E222" s="214"/>
      <c r="F222" s="215">
        <f>F221*F192</f>
        <v>495472.17193261156</v>
      </c>
    </row>
    <row r="223" spans="1:6" ht="12.75">
      <c r="A223" s="214" t="s">
        <v>304</v>
      </c>
      <c r="B223" s="214"/>
      <c r="C223" s="216"/>
      <c r="D223" s="214"/>
      <c r="E223" s="214"/>
      <c r="F223" s="215">
        <v>103149</v>
      </c>
    </row>
    <row r="224" spans="1:6" ht="15">
      <c r="A224" s="244" t="s">
        <v>305</v>
      </c>
      <c r="B224" s="244"/>
      <c r="C224" s="244"/>
      <c r="D224" s="244"/>
      <c r="E224" s="244"/>
      <c r="F224" s="238">
        <f>F222/F223</f>
        <v>4.80346074060448</v>
      </c>
    </row>
    <row r="225" spans="1:6" ht="12.75">
      <c r="A225" s="67"/>
      <c r="C225" s="156"/>
      <c r="D225" s="67"/>
      <c r="F225" s="157"/>
    </row>
    <row r="226" spans="1:10" ht="12.75">
      <c r="A226" s="233" t="s">
        <v>313</v>
      </c>
      <c r="C226" s="156"/>
      <c r="D226" s="67"/>
      <c r="F226" s="157">
        <f>F222*120</f>
        <v>59456660.63191339</v>
      </c>
      <c r="H226" s="203"/>
      <c r="J226" s="234"/>
    </row>
    <row r="227" spans="1:10" ht="27.75" customHeight="1">
      <c r="A227" s="67"/>
      <c r="C227" s="156"/>
      <c r="D227" s="67"/>
      <c r="F227" s="157"/>
      <c r="H227" s="203"/>
      <c r="J227" s="234"/>
    </row>
    <row r="228" spans="1:10" ht="15">
      <c r="A228" s="180" t="s">
        <v>277</v>
      </c>
      <c r="B228" s="180"/>
      <c r="C228" s="217"/>
      <c r="D228" s="180"/>
      <c r="E228" s="180"/>
      <c r="F228" s="218"/>
      <c r="H228" s="203"/>
      <c r="J228" s="234"/>
    </row>
    <row r="229" spans="1:10" ht="15">
      <c r="A229" s="241" t="s">
        <v>278</v>
      </c>
      <c r="B229" s="241"/>
      <c r="C229" s="241"/>
      <c r="D229" s="241"/>
      <c r="E229" s="241"/>
      <c r="F229" s="241"/>
      <c r="H229" s="203"/>
      <c r="J229" s="234"/>
    </row>
    <row r="230" spans="1:6" ht="15.75" hidden="1" thickBot="1">
      <c r="A230" s="232"/>
      <c r="B230" s="232"/>
      <c r="C230" s="232"/>
      <c r="D230" s="232"/>
      <c r="E230" s="232"/>
      <c r="F230" s="232"/>
    </row>
    <row r="231" spans="1:6" ht="12.75" hidden="1">
      <c r="A231" s="248"/>
      <c r="B231" s="249"/>
      <c r="C231" s="219" t="s">
        <v>290</v>
      </c>
      <c r="D231" s="219"/>
      <c r="E231" s="219" t="s">
        <v>292</v>
      </c>
      <c r="F231" s="219" t="s">
        <v>294</v>
      </c>
    </row>
    <row r="232" spans="1:6" ht="12.75" hidden="1">
      <c r="A232" s="250" t="s">
        <v>289</v>
      </c>
      <c r="B232" s="251"/>
      <c r="C232" s="225" t="s">
        <v>291</v>
      </c>
      <c r="D232" s="225" t="s">
        <v>309</v>
      </c>
      <c r="E232" s="225" t="s">
        <v>293</v>
      </c>
      <c r="F232" s="225" t="s">
        <v>295</v>
      </c>
    </row>
    <row r="233" spans="1:6" ht="13.5" hidden="1" thickBot="1">
      <c r="A233" s="252"/>
      <c r="B233" s="253"/>
      <c r="C233" s="220"/>
      <c r="D233" s="220" t="s">
        <v>310</v>
      </c>
      <c r="E233" s="220"/>
      <c r="F233" s="220"/>
    </row>
    <row r="234" spans="1:6" ht="13.5" hidden="1" thickBot="1">
      <c r="A234" s="245" t="s">
        <v>296</v>
      </c>
      <c r="B234" s="246"/>
      <c r="C234" s="226">
        <v>20199</v>
      </c>
      <c r="D234" s="235">
        <f>E234/F224</f>
        <v>0.9160062375041484</v>
      </c>
      <c r="E234" s="227">
        <v>4.4</v>
      </c>
      <c r="F234" s="228">
        <f>C234*E234</f>
        <v>88875.6</v>
      </c>
    </row>
    <row r="235" spans="1:6" ht="13.5" hidden="1" thickBot="1">
      <c r="A235" s="245" t="s">
        <v>297</v>
      </c>
      <c r="B235" s="246"/>
      <c r="C235" s="226">
        <v>13850</v>
      </c>
      <c r="D235" s="235">
        <f>E235/F224</f>
        <v>0.4580031187520742</v>
      </c>
      <c r="E235" s="227">
        <f>E234/2</f>
        <v>2.2</v>
      </c>
      <c r="F235" s="228">
        <f aca="true" t="shared" si="1" ref="F235:F241">C235*E235</f>
        <v>30470.000000000004</v>
      </c>
    </row>
    <row r="236" spans="1:6" ht="13.5" hidden="1" thickBot="1">
      <c r="A236" s="245" t="s">
        <v>298</v>
      </c>
      <c r="B236" s="246"/>
      <c r="C236" s="226">
        <v>6733</v>
      </c>
      <c r="D236" s="235">
        <f>E236/F224</f>
        <v>1.4572826505747816</v>
      </c>
      <c r="E236" s="227">
        <v>7</v>
      </c>
      <c r="F236" s="228">
        <f t="shared" si="1"/>
        <v>47131</v>
      </c>
    </row>
    <row r="237" spans="1:6" ht="13.5" hidden="1" thickBot="1">
      <c r="A237" s="245" t="s">
        <v>299</v>
      </c>
      <c r="B237" s="246"/>
      <c r="C237" s="226">
        <v>3366</v>
      </c>
      <c r="D237" s="235">
        <f>E237/F224</f>
        <v>1.8736491221675762</v>
      </c>
      <c r="E237" s="227">
        <v>9</v>
      </c>
      <c r="F237" s="228">
        <f t="shared" si="1"/>
        <v>30294</v>
      </c>
    </row>
    <row r="238" spans="1:6" ht="13.5" hidden="1" thickBot="1">
      <c r="A238" s="245" t="s">
        <v>300</v>
      </c>
      <c r="B238" s="246"/>
      <c r="C238" s="226">
        <v>2020</v>
      </c>
      <c r="D238" s="235">
        <f>E238/F224</f>
        <v>2.290015593760371</v>
      </c>
      <c r="E238" s="227">
        <v>11</v>
      </c>
      <c r="F238" s="228">
        <f t="shared" si="1"/>
        <v>22220</v>
      </c>
    </row>
    <row r="239" spans="1:6" ht="13.5" hidden="1" thickBot="1">
      <c r="A239" s="245" t="s">
        <v>301</v>
      </c>
      <c r="B239" s="247"/>
      <c r="C239" s="226">
        <v>1010</v>
      </c>
      <c r="D239" s="235">
        <f>E239/F224</f>
        <v>2.7063820653531656</v>
      </c>
      <c r="E239" s="227">
        <v>13</v>
      </c>
      <c r="F239" s="228">
        <f t="shared" si="1"/>
        <v>13130</v>
      </c>
    </row>
    <row r="240" spans="1:6" ht="16.5" customHeight="1" hidden="1" thickBot="1">
      <c r="A240" s="229" t="s">
        <v>302</v>
      </c>
      <c r="B240" s="221"/>
      <c r="C240" s="224">
        <v>337</v>
      </c>
      <c r="D240" s="235">
        <f>E240/F224</f>
        <v>3.12274853694596</v>
      </c>
      <c r="E240" s="227">
        <v>15</v>
      </c>
      <c r="F240" s="228">
        <f t="shared" si="1"/>
        <v>5055</v>
      </c>
    </row>
    <row r="241" spans="1:6" ht="13.5" hidden="1" thickBot="1">
      <c r="A241" s="229" t="s">
        <v>303</v>
      </c>
      <c r="B241" s="221"/>
      <c r="C241" s="226">
        <v>59000</v>
      </c>
      <c r="D241" s="235">
        <f>E241/F224</f>
        <v>0.9118425727882205</v>
      </c>
      <c r="E241" s="227">
        <v>4.38</v>
      </c>
      <c r="F241" s="228">
        <f t="shared" si="1"/>
        <v>258420</v>
      </c>
    </row>
    <row r="242" spans="1:6" ht="12.75" hidden="1">
      <c r="A242" s="236" t="s">
        <v>311</v>
      </c>
      <c r="B242" s="236"/>
      <c r="C242" s="236"/>
      <c r="D242" s="236"/>
      <c r="E242" s="236"/>
      <c r="F242" s="237">
        <f>SUM(F234:F241)</f>
        <v>495595.6</v>
      </c>
    </row>
    <row r="243" ht="64.5" customHeight="1">
      <c r="D243" s="67"/>
    </row>
    <row r="244" spans="2:4" ht="12.75">
      <c r="B244" s="67" t="s">
        <v>264</v>
      </c>
      <c r="D244" s="67"/>
    </row>
    <row r="245" ht="12.75">
      <c r="B245" s="67" t="s">
        <v>265</v>
      </c>
    </row>
    <row r="246" ht="12.75">
      <c r="B246" s="67" t="s">
        <v>266</v>
      </c>
    </row>
  </sheetData>
  <sheetProtection/>
  <mergeCells count="16">
    <mergeCell ref="A237:B237"/>
    <mergeCell ref="A238:B238"/>
    <mergeCell ref="A239:B239"/>
    <mergeCell ref="A231:B231"/>
    <mergeCell ref="A232:B232"/>
    <mergeCell ref="A233:B233"/>
    <mergeCell ref="A234:B234"/>
    <mergeCell ref="A235:B235"/>
    <mergeCell ref="A236:B236"/>
    <mergeCell ref="A7:E7"/>
    <mergeCell ref="D45:F45"/>
    <mergeCell ref="A5:F5"/>
    <mergeCell ref="A2:A4"/>
    <mergeCell ref="B4:E4"/>
    <mergeCell ref="A229:F229"/>
    <mergeCell ref="A224:E224"/>
  </mergeCells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selection activeCell="N15" sqref="N15"/>
    </sheetView>
  </sheetViews>
  <sheetFormatPr defaultColWidth="8.421875" defaultRowHeight="12.75"/>
  <cols>
    <col min="1" max="2" width="8.421875" style="8" customWidth="1"/>
    <col min="3" max="7" width="8.140625" style="8" customWidth="1"/>
    <col min="8" max="9" width="9.00390625" style="8" customWidth="1"/>
    <col min="10" max="10" width="9.00390625" style="33" customWidth="1"/>
    <col min="11" max="11" width="9.8515625" style="33" customWidth="1"/>
    <col min="12" max="12" width="1.7109375" style="8" customWidth="1"/>
    <col min="13" max="13" width="14.28125" style="8" customWidth="1"/>
    <col min="14" max="16384" width="8.421875" style="8" customWidth="1"/>
  </cols>
  <sheetData>
    <row r="1" spans="1:255" s="4" customFormat="1" ht="15" customHeight="1">
      <c r="A1" s="63" t="s">
        <v>113</v>
      </c>
      <c r="B1" s="1"/>
      <c r="C1" s="1"/>
      <c r="D1" s="2"/>
      <c r="E1" s="2"/>
      <c r="F1" s="2"/>
      <c r="G1" s="2"/>
      <c r="H1" s="3"/>
      <c r="I1" s="56"/>
      <c r="J1" s="26"/>
      <c r="K1" s="57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" customHeight="1">
      <c r="A2" s="1" t="s">
        <v>0</v>
      </c>
      <c r="B2" s="1"/>
      <c r="C2" s="1"/>
      <c r="D2" s="1"/>
      <c r="E2" s="1"/>
      <c r="F2" s="1"/>
      <c r="G2" s="5"/>
      <c r="H2" s="5"/>
      <c r="I2" s="6"/>
      <c r="J2" s="7"/>
      <c r="K2" s="64">
        <v>2.2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" customHeight="1">
      <c r="A3" s="1" t="s">
        <v>1</v>
      </c>
      <c r="B3" s="1"/>
      <c r="C3" s="1"/>
      <c r="D3" s="1"/>
      <c r="E3" s="1"/>
      <c r="F3" s="1"/>
      <c r="G3" s="5"/>
      <c r="H3" s="5"/>
      <c r="I3" s="6"/>
      <c r="J3" s="7"/>
      <c r="K3" s="64">
        <v>8.75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" customHeight="1">
      <c r="A4" s="1" t="s">
        <v>2</v>
      </c>
      <c r="B4" s="1"/>
      <c r="C4" s="1"/>
      <c r="D4" s="1"/>
      <c r="E4" s="1"/>
      <c r="F4" s="1"/>
      <c r="G4" s="5"/>
      <c r="H4" s="5"/>
      <c r="I4" s="6"/>
      <c r="J4" s="7"/>
      <c r="K4" s="64">
        <v>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" customHeight="1">
      <c r="A5" s="1" t="s">
        <v>3</v>
      </c>
      <c r="B5" s="1"/>
      <c r="C5" s="1"/>
      <c r="D5" s="1"/>
      <c r="E5" s="1"/>
      <c r="F5" s="1"/>
      <c r="G5" s="5"/>
      <c r="H5" s="5"/>
      <c r="I5" s="6"/>
      <c r="J5" s="7"/>
      <c r="K5" s="64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" customHeight="1">
      <c r="A6" s="1" t="s">
        <v>119</v>
      </c>
      <c r="B6" s="1"/>
      <c r="C6" s="1"/>
      <c r="D6" s="1"/>
      <c r="E6" s="1"/>
      <c r="F6" s="1"/>
      <c r="G6" s="5"/>
      <c r="H6" s="5"/>
      <c r="I6" s="6"/>
      <c r="J6" s="7"/>
      <c r="K6" s="64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" customHeight="1">
      <c r="A7" s="1" t="s">
        <v>4</v>
      </c>
      <c r="B7" s="1"/>
      <c r="C7" s="1"/>
      <c r="D7" s="1"/>
      <c r="E7" s="1"/>
      <c r="F7" s="1"/>
      <c r="G7" s="5"/>
      <c r="H7" s="5"/>
      <c r="I7" s="6"/>
      <c r="J7" s="7"/>
      <c r="K7" s="64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2" customHeight="1">
      <c r="A8" s="1" t="s">
        <v>131</v>
      </c>
      <c r="B8" s="1"/>
      <c r="C8" s="1"/>
      <c r="D8" s="1"/>
      <c r="E8" s="1"/>
      <c r="F8" s="1"/>
      <c r="G8" s="5"/>
      <c r="H8" s="5"/>
      <c r="I8" s="6"/>
      <c r="J8" s="7"/>
      <c r="K8" s="64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" t="s">
        <v>86</v>
      </c>
      <c r="B9" s="1"/>
      <c r="C9" s="1"/>
      <c r="D9" s="1"/>
      <c r="E9" s="1"/>
      <c r="F9" s="1"/>
      <c r="G9" s="5"/>
      <c r="H9" s="9"/>
      <c r="I9" s="6"/>
      <c r="J9" s="7"/>
      <c r="K9" s="64">
        <v>500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 t="s">
        <v>85</v>
      </c>
      <c r="B10" s="1"/>
      <c r="C10" s="1"/>
      <c r="D10" s="1"/>
      <c r="E10" s="1"/>
      <c r="F10" s="1"/>
      <c r="G10" s="10"/>
      <c r="H10" s="10"/>
      <c r="I10" s="11"/>
      <c r="J10" s="12"/>
      <c r="K10" s="64">
        <v>940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" t="s">
        <v>87</v>
      </c>
      <c r="B11" s="1"/>
      <c r="C11" s="1"/>
      <c r="D11" s="1"/>
      <c r="E11" s="1"/>
      <c r="F11" s="1"/>
      <c r="G11" s="10"/>
      <c r="H11" s="14"/>
      <c r="I11" s="11"/>
      <c r="J11" s="12"/>
      <c r="K11" s="64">
        <v>1100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" customHeight="1">
      <c r="A12" s="1" t="s">
        <v>89</v>
      </c>
      <c r="B12" s="1"/>
      <c r="C12" s="1"/>
      <c r="D12" s="1"/>
      <c r="E12" s="1"/>
      <c r="F12" s="1"/>
      <c r="G12" s="10"/>
      <c r="H12" s="14"/>
      <c r="I12" s="11"/>
      <c r="J12" s="12"/>
      <c r="K12" s="64">
        <v>180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" customHeight="1">
      <c r="A13" s="1" t="s">
        <v>88</v>
      </c>
      <c r="B13" s="1"/>
      <c r="C13" s="1"/>
      <c r="D13" s="1"/>
      <c r="E13" s="1"/>
      <c r="F13" s="1"/>
      <c r="G13" s="10"/>
      <c r="H13" s="14"/>
      <c r="I13" s="11"/>
      <c r="J13" s="12"/>
      <c r="K13" s="64">
        <v>250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" customHeight="1">
      <c r="A14" s="1" t="s">
        <v>90</v>
      </c>
      <c r="B14" s="1"/>
      <c r="C14" s="1"/>
      <c r="D14" s="1"/>
      <c r="E14" s="1"/>
      <c r="F14" s="1"/>
      <c r="G14" s="10"/>
      <c r="H14" s="10"/>
      <c r="I14" s="11"/>
      <c r="J14" s="12"/>
      <c r="K14" s="64">
        <v>350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" customHeight="1">
      <c r="A15" s="1" t="s">
        <v>91</v>
      </c>
      <c r="B15" s="1"/>
      <c r="C15" s="1"/>
      <c r="D15" s="1"/>
      <c r="E15" s="1"/>
      <c r="F15" s="1"/>
      <c r="G15" s="10"/>
      <c r="H15" s="10"/>
      <c r="I15" s="11"/>
      <c r="J15" s="12"/>
      <c r="K15" s="64">
        <v>20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" customHeight="1">
      <c r="A16" s="1" t="s">
        <v>92</v>
      </c>
      <c r="B16" s="1"/>
      <c r="C16" s="1"/>
      <c r="D16" s="1"/>
      <c r="E16" s="1"/>
      <c r="F16" s="1"/>
      <c r="G16" s="10"/>
      <c r="H16" s="10"/>
      <c r="I16" s="11"/>
      <c r="J16" s="12"/>
      <c r="K16" s="64">
        <v>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2" customHeight="1">
      <c r="A17" s="1" t="s">
        <v>93</v>
      </c>
      <c r="B17" s="1"/>
      <c r="C17" s="1"/>
      <c r="D17" s="1"/>
      <c r="E17" s="1"/>
      <c r="F17" s="1"/>
      <c r="G17" s="10"/>
      <c r="H17" s="10"/>
      <c r="I17" s="11"/>
      <c r="J17" s="12"/>
      <c r="K17" s="64">
        <v>30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2" customHeight="1">
      <c r="A18" s="1" t="s">
        <v>5</v>
      </c>
      <c r="B18" s="1"/>
      <c r="C18" s="1"/>
      <c r="D18" s="1"/>
      <c r="E18" s="1"/>
      <c r="F18" s="1"/>
      <c r="G18" s="10"/>
      <c r="H18" s="10"/>
      <c r="I18" s="11"/>
      <c r="J18" s="12"/>
      <c r="K18" s="76">
        <v>1000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2" customHeight="1">
      <c r="A19" s="1" t="s">
        <v>6</v>
      </c>
      <c r="B19" s="1"/>
      <c r="C19" s="1"/>
      <c r="D19" s="1"/>
      <c r="E19" s="1"/>
      <c r="F19" s="1"/>
      <c r="G19" s="10"/>
      <c r="H19" s="10"/>
      <c r="I19" s="11"/>
      <c r="J19" s="12"/>
      <c r="K19" s="76">
        <v>700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2" customHeight="1">
      <c r="A20" s="1" t="s">
        <v>7</v>
      </c>
      <c r="B20" s="1"/>
      <c r="C20" s="1"/>
      <c r="D20" s="1"/>
      <c r="E20" s="1"/>
      <c r="F20" s="1"/>
      <c r="G20" s="10"/>
      <c r="H20" s="10"/>
      <c r="I20" s="11"/>
      <c r="J20" s="12"/>
      <c r="K20" s="76">
        <v>1000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 customHeight="1">
      <c r="A21" s="1" t="s">
        <v>8</v>
      </c>
      <c r="B21" s="15"/>
      <c r="C21" s="1"/>
      <c r="D21" s="1"/>
      <c r="E21" s="1"/>
      <c r="F21" s="1"/>
      <c r="G21" s="16"/>
      <c r="H21" s="16"/>
      <c r="I21" s="11"/>
      <c r="J21" s="12"/>
      <c r="K21" s="17">
        <f>(K22+K23+K24+K25)+1</f>
        <v>1.7742</v>
      </c>
      <c r="L21" s="1"/>
      <c r="M21" s="5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" customHeight="1">
      <c r="A22" s="15" t="s">
        <v>9</v>
      </c>
      <c r="B22" s="1" t="s">
        <v>10</v>
      </c>
      <c r="C22" s="1"/>
      <c r="D22" s="1"/>
      <c r="E22" s="1"/>
      <c r="F22" s="1"/>
      <c r="G22" s="16"/>
      <c r="H22" s="16"/>
      <c r="I22" s="11"/>
      <c r="J22" s="12"/>
      <c r="K22" s="58">
        <v>0.368</v>
      </c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" customHeight="1">
      <c r="A23" s="15" t="s">
        <v>11</v>
      </c>
      <c r="B23" s="1" t="s">
        <v>12</v>
      </c>
      <c r="C23" s="1"/>
      <c r="D23" s="1"/>
      <c r="E23" s="1"/>
      <c r="F23" s="1"/>
      <c r="G23" s="16"/>
      <c r="H23" s="16"/>
      <c r="I23" s="11"/>
      <c r="J23" s="12"/>
      <c r="K23" s="58">
        <v>0.1129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2" customHeight="1">
      <c r="A24" s="15" t="s">
        <v>13</v>
      </c>
      <c r="B24" s="15" t="s">
        <v>14</v>
      </c>
      <c r="C24" s="1"/>
      <c r="D24" s="1"/>
      <c r="E24" s="1"/>
      <c r="F24" s="1"/>
      <c r="G24" s="16"/>
      <c r="H24" s="16"/>
      <c r="I24" s="11"/>
      <c r="J24" s="12"/>
      <c r="K24" s="58">
        <v>0.0753</v>
      </c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" customHeight="1">
      <c r="A25" s="15" t="s">
        <v>15</v>
      </c>
      <c r="B25" s="15" t="s">
        <v>16</v>
      </c>
      <c r="C25" s="1"/>
      <c r="D25" s="1"/>
      <c r="E25" s="1"/>
      <c r="F25" s="1"/>
      <c r="G25" s="16"/>
      <c r="H25" s="16"/>
      <c r="I25" s="11"/>
      <c r="J25" s="12"/>
      <c r="K25" s="58">
        <v>0.218</v>
      </c>
      <c r="L25" s="1"/>
      <c r="M25" s="5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2" customHeight="1">
      <c r="A26" s="60" t="s">
        <v>125</v>
      </c>
      <c r="B26" s="1"/>
      <c r="C26" s="1"/>
      <c r="D26" s="1"/>
      <c r="E26" s="1"/>
      <c r="F26" s="1"/>
      <c r="G26" s="18"/>
      <c r="H26" s="18"/>
      <c r="J26" s="61">
        <f>1/3.2</f>
        <v>0.3125</v>
      </c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" customHeight="1">
      <c r="A27" s="60" t="s">
        <v>126</v>
      </c>
      <c r="B27" s="1"/>
      <c r="C27" s="1"/>
      <c r="D27" s="1"/>
      <c r="E27" s="1"/>
      <c r="F27" s="1"/>
      <c r="G27" s="18"/>
      <c r="H27" s="18"/>
      <c r="J27" s="61">
        <f>1/2.8</f>
        <v>0.35714285714285715</v>
      </c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" customHeight="1">
      <c r="A28" s="60" t="s">
        <v>127</v>
      </c>
      <c r="B28" s="1"/>
      <c r="C28" s="1"/>
      <c r="D28" s="1"/>
      <c r="E28" s="1"/>
      <c r="F28" s="1"/>
      <c r="G28" s="18"/>
      <c r="H28" s="18"/>
      <c r="J28" s="61">
        <f>1/2.5</f>
        <v>0.4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>
      <c r="A29" s="60" t="s">
        <v>128</v>
      </c>
      <c r="B29" s="1"/>
      <c r="C29" s="1"/>
      <c r="D29" s="1"/>
      <c r="E29" s="1"/>
      <c r="F29" s="1"/>
      <c r="G29" s="18"/>
      <c r="H29" s="18"/>
      <c r="J29" s="61">
        <f>1/2</f>
        <v>0.5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2" customHeight="1">
      <c r="A30" s="60" t="s">
        <v>129</v>
      </c>
      <c r="B30" s="1"/>
      <c r="C30" s="1"/>
      <c r="D30" s="1"/>
      <c r="E30" s="1"/>
      <c r="F30" s="1"/>
      <c r="G30" s="18"/>
      <c r="H30" s="18"/>
      <c r="J30" s="61">
        <f>1/2.5</f>
        <v>0.4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" customHeight="1">
      <c r="A31" s="60" t="s">
        <v>130</v>
      </c>
      <c r="B31" s="1"/>
      <c r="C31" s="1"/>
      <c r="D31" s="1"/>
      <c r="E31" s="1"/>
      <c r="F31" s="1"/>
      <c r="G31" s="18"/>
      <c r="H31" s="18"/>
      <c r="J31" s="61">
        <f>1/2</f>
        <v>0.5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" customHeight="1">
      <c r="A32" s="60" t="s">
        <v>75</v>
      </c>
      <c r="B32" s="1"/>
      <c r="C32" s="1"/>
      <c r="D32" s="1"/>
      <c r="E32" s="1"/>
      <c r="F32" s="1"/>
      <c r="G32" s="18"/>
      <c r="H32" s="14"/>
      <c r="J32" s="61">
        <f>9.2/5000</f>
        <v>0.0018399999999999998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" customHeight="1">
      <c r="A33" s="60" t="s">
        <v>94</v>
      </c>
      <c r="B33" s="1"/>
      <c r="C33" s="1"/>
      <c r="D33" s="1"/>
      <c r="E33" s="1"/>
      <c r="F33" s="1"/>
      <c r="G33" s="18"/>
      <c r="H33" s="14"/>
      <c r="J33" s="61">
        <f>20.2/5000</f>
        <v>0.00404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>
      <c r="A34" s="60" t="s">
        <v>74</v>
      </c>
      <c r="B34" s="1"/>
      <c r="C34" s="1"/>
      <c r="D34" s="1"/>
      <c r="E34" s="1"/>
      <c r="F34" s="1"/>
      <c r="G34" s="18"/>
      <c r="H34" s="14"/>
      <c r="J34" s="61">
        <f>25/5000</f>
        <v>0.005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10" ht="12.75">
      <c r="A35" s="60" t="s">
        <v>77</v>
      </c>
      <c r="B35" s="1"/>
      <c r="C35" s="1"/>
      <c r="D35" s="1"/>
      <c r="E35" s="1"/>
      <c r="F35" s="1"/>
      <c r="G35" s="18"/>
      <c r="J35" s="61">
        <f>5.3/15000</f>
        <v>0.0003533333333333333</v>
      </c>
    </row>
    <row r="36" spans="1:255" ht="12" customHeight="1">
      <c r="A36" s="60" t="s">
        <v>95</v>
      </c>
      <c r="B36" s="1"/>
      <c r="C36" s="1"/>
      <c r="D36" s="1"/>
      <c r="E36" s="1"/>
      <c r="F36" s="1"/>
      <c r="G36" s="18"/>
      <c r="J36" s="61">
        <f>8.5/15000</f>
        <v>0.0005666666666666667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" customHeight="1">
      <c r="A37" s="60" t="s">
        <v>76</v>
      </c>
      <c r="B37" s="1"/>
      <c r="C37" s="1"/>
      <c r="D37" s="1"/>
      <c r="E37" s="1"/>
      <c r="F37" s="1"/>
      <c r="G37" s="18"/>
      <c r="J37" s="61">
        <f>9/15000</f>
        <v>0.0006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" customHeight="1">
      <c r="A38" s="60" t="s">
        <v>79</v>
      </c>
      <c r="B38" s="1"/>
      <c r="C38" s="1"/>
      <c r="D38" s="1"/>
      <c r="E38" s="1"/>
      <c r="F38" s="1"/>
      <c r="G38" s="18"/>
      <c r="J38" s="61">
        <f>4/30000</f>
        <v>0.00013333333333333334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2" customHeight="1">
      <c r="A39" s="60" t="s">
        <v>96</v>
      </c>
      <c r="B39" s="1"/>
      <c r="C39" s="1"/>
      <c r="D39" s="1"/>
      <c r="E39" s="1"/>
      <c r="F39" s="1"/>
      <c r="G39" s="18"/>
      <c r="J39" s="61">
        <f>8/30000</f>
        <v>0.0002666666666666667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2" customHeight="1">
      <c r="A40" s="60" t="s">
        <v>78</v>
      </c>
      <c r="B40" s="1"/>
      <c r="C40" s="1"/>
      <c r="D40" s="1"/>
      <c r="E40" s="1"/>
      <c r="F40" s="1"/>
      <c r="G40" s="18"/>
      <c r="J40" s="61">
        <f>9/30000</f>
        <v>0.0003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2" customHeight="1">
      <c r="A41" s="60" t="s">
        <v>81</v>
      </c>
      <c r="B41" s="1"/>
      <c r="C41" s="1"/>
      <c r="D41" s="1"/>
      <c r="E41" s="1"/>
      <c r="F41" s="1"/>
      <c r="G41" s="18"/>
      <c r="J41" s="61">
        <f>1.7/50000</f>
        <v>3.4E-05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" customHeight="1">
      <c r="A42" s="60" t="s">
        <v>97</v>
      </c>
      <c r="B42" s="1"/>
      <c r="C42" s="1"/>
      <c r="D42" s="1"/>
      <c r="E42" s="1"/>
      <c r="F42" s="1"/>
      <c r="G42" s="18"/>
      <c r="J42" s="61">
        <f>3.6/50000</f>
        <v>7.2E-05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>
      <c r="A43" s="60" t="s">
        <v>80</v>
      </c>
      <c r="B43" s="1"/>
      <c r="C43" s="1"/>
      <c r="D43" s="1"/>
      <c r="E43" s="1"/>
      <c r="F43" s="1"/>
      <c r="G43" s="18"/>
      <c r="J43" s="61">
        <f>4/50000</f>
        <v>8E-05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2" customHeight="1">
      <c r="A44" s="60" t="s">
        <v>83</v>
      </c>
      <c r="B44" s="1"/>
      <c r="C44" s="1"/>
      <c r="D44" s="1"/>
      <c r="E44" s="1"/>
      <c r="F44" s="1"/>
      <c r="G44" s="18"/>
      <c r="J44" s="61">
        <f>1/10000</f>
        <v>0.0001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2" customHeight="1">
      <c r="A45" s="60" t="s">
        <v>98</v>
      </c>
      <c r="B45" s="1"/>
      <c r="C45" s="1"/>
      <c r="D45" s="1"/>
      <c r="E45" s="1"/>
      <c r="F45" s="1"/>
      <c r="G45" s="18"/>
      <c r="J45" s="61">
        <f>1.5/10000</f>
        <v>0.00015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2" customHeight="1">
      <c r="A46" s="60" t="s">
        <v>82</v>
      </c>
      <c r="B46" s="1"/>
      <c r="C46" s="1"/>
      <c r="D46" s="1"/>
      <c r="E46" s="1"/>
      <c r="F46" s="1"/>
      <c r="G46" s="18"/>
      <c r="J46" s="61">
        <f>2/10000</f>
        <v>0.0002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2" customHeight="1">
      <c r="A47" s="60" t="s">
        <v>132</v>
      </c>
      <c r="B47" s="1"/>
      <c r="C47" s="1"/>
      <c r="D47" s="1"/>
      <c r="E47" s="1"/>
      <c r="F47" s="1"/>
      <c r="G47" s="18"/>
      <c r="J47" s="61">
        <f>0.7/10000</f>
        <v>7E-05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" customHeight="1">
      <c r="A48" s="60" t="s">
        <v>133</v>
      </c>
      <c r="B48" s="1"/>
      <c r="C48" s="1"/>
      <c r="D48" s="1"/>
      <c r="E48" s="1"/>
      <c r="F48" s="1"/>
      <c r="G48" s="18"/>
      <c r="J48" s="61">
        <f>1.2/10000</f>
        <v>0.00011999999999999999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2" customHeight="1">
      <c r="A49" s="60" t="s">
        <v>134</v>
      </c>
      <c r="B49" s="1"/>
      <c r="C49" s="1"/>
      <c r="D49" s="1"/>
      <c r="E49" s="1"/>
      <c r="F49" s="1"/>
      <c r="G49" s="18"/>
      <c r="J49" s="61">
        <f>1.5/10000</f>
        <v>0.00015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" customHeight="1">
      <c r="A50" s="1" t="s">
        <v>17</v>
      </c>
      <c r="B50" s="1"/>
      <c r="C50" s="1"/>
      <c r="D50" s="1"/>
      <c r="E50" s="1"/>
      <c r="F50" s="1"/>
      <c r="G50" s="19"/>
      <c r="H50" s="14"/>
      <c r="I50" s="11"/>
      <c r="J50" s="12"/>
      <c r="K50" s="62">
        <v>268</v>
      </c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2" customHeight="1">
      <c r="A51" s="1" t="s">
        <v>18</v>
      </c>
      <c r="B51" s="1"/>
      <c r="C51" s="1"/>
      <c r="D51" s="1"/>
      <c r="E51" s="1"/>
      <c r="F51" s="1"/>
      <c r="G51" s="10"/>
      <c r="H51" s="14"/>
      <c r="I51" s="11"/>
      <c r="J51" s="12"/>
      <c r="K51" s="62">
        <v>59.52</v>
      </c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2" customHeight="1">
      <c r="A52" s="1" t="s">
        <v>19</v>
      </c>
      <c r="B52" s="1"/>
      <c r="C52" s="1"/>
      <c r="D52" s="1"/>
      <c r="E52" s="1"/>
      <c r="F52" s="1"/>
      <c r="G52" s="10"/>
      <c r="H52" s="14"/>
      <c r="I52" s="11"/>
      <c r="J52" s="12"/>
      <c r="K52" s="62">
        <v>1500</v>
      </c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2" customHeight="1">
      <c r="A53" s="1" t="s">
        <v>20</v>
      </c>
      <c r="B53" s="1"/>
      <c r="C53" s="1"/>
      <c r="D53" s="20" t="s">
        <v>21</v>
      </c>
      <c r="E53" s="1"/>
      <c r="F53" s="1"/>
      <c r="G53" s="10"/>
      <c r="H53" s="14"/>
      <c r="I53" s="6"/>
      <c r="J53" s="7"/>
      <c r="K53" s="62">
        <v>0.15</v>
      </c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2" customHeight="1">
      <c r="A54" s="1" t="s">
        <v>22</v>
      </c>
      <c r="B54" s="1"/>
      <c r="C54" s="1"/>
      <c r="D54" s="1"/>
      <c r="E54" s="1"/>
      <c r="F54" s="1"/>
      <c r="G54" s="21"/>
      <c r="H54" s="14"/>
      <c r="I54" s="6"/>
      <c r="J54" s="7"/>
      <c r="K54" s="62">
        <v>0</v>
      </c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2" customHeight="1">
      <c r="A55" s="1" t="s">
        <v>23</v>
      </c>
      <c r="B55" s="1"/>
      <c r="C55" s="1"/>
      <c r="D55" s="1"/>
      <c r="E55" s="1"/>
      <c r="F55" s="1"/>
      <c r="G55" s="1"/>
      <c r="H55" s="22"/>
      <c r="I55" s="23"/>
      <c r="J55" s="24"/>
      <c r="K55" s="79">
        <v>100000</v>
      </c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2" customHeight="1">
      <c r="A56" s="1"/>
      <c r="B56" s="1"/>
      <c r="C56" s="1"/>
      <c r="D56" s="1"/>
      <c r="E56" s="1"/>
      <c r="F56" s="1"/>
      <c r="G56" s="1"/>
      <c r="H56" s="22"/>
      <c r="I56" s="23"/>
      <c r="J56" s="24"/>
      <c r="K56" s="79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85" customFormat="1" ht="11.25"/>
    <row r="58" ht="12.75">
      <c r="K58" s="8"/>
    </row>
  </sheetData>
  <sheetProtection/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1:J58"/>
  <sheetViews>
    <sheetView zoomScalePageLayoutView="0" workbookViewId="0" topLeftCell="A33">
      <selection activeCell="I58" sqref="I58"/>
    </sheetView>
  </sheetViews>
  <sheetFormatPr defaultColWidth="9.140625" defaultRowHeight="12.75"/>
  <cols>
    <col min="3" max="3" width="13.7109375" style="0" customWidth="1"/>
    <col min="6" max="6" width="13.57421875" style="0" customWidth="1"/>
    <col min="7" max="7" width="10.140625" style="0" bestFit="1" customWidth="1"/>
    <col min="10" max="10" width="16.8515625" style="0" bestFit="1" customWidth="1"/>
  </cols>
  <sheetData>
    <row r="31" spans="1:6" ht="12.75">
      <c r="A31" s="181" t="s">
        <v>249</v>
      </c>
      <c r="B31" s="182" t="s">
        <v>250</v>
      </c>
      <c r="C31" s="183"/>
      <c r="D31" s="183" t="s">
        <v>251</v>
      </c>
      <c r="E31" s="184"/>
      <c r="F31" s="184"/>
    </row>
    <row r="32" spans="1:6" ht="12.75">
      <c r="A32" s="185">
        <v>0</v>
      </c>
      <c r="B32" s="186">
        <v>1</v>
      </c>
      <c r="C32" s="187">
        <v>380000</v>
      </c>
      <c r="D32" s="188">
        <v>0.130769</v>
      </c>
      <c r="E32" s="189">
        <f aca="true" t="shared" si="0" ref="E32:E43">C32*D32</f>
        <v>49692.22</v>
      </c>
      <c r="F32" s="187">
        <f>C32-E32</f>
        <v>330307.78</v>
      </c>
    </row>
    <row r="33" spans="1:6" ht="12.75">
      <c r="A33" s="185">
        <v>1</v>
      </c>
      <c r="B33" s="186">
        <v>2</v>
      </c>
      <c r="C33" s="187">
        <v>380000</v>
      </c>
      <c r="D33" s="188">
        <v>0.119872</v>
      </c>
      <c r="E33" s="189">
        <f t="shared" si="0"/>
        <v>45551.36</v>
      </c>
      <c r="F33" s="187">
        <f aca="true" t="shared" si="1" ref="F33:F43">F32-E33</f>
        <v>284756.42000000004</v>
      </c>
    </row>
    <row r="34" spans="1:6" ht="12.75">
      <c r="A34" s="185">
        <v>2</v>
      </c>
      <c r="B34" s="186">
        <v>3</v>
      </c>
      <c r="C34" s="187">
        <v>380000</v>
      </c>
      <c r="D34" s="188">
        <v>0.108974</v>
      </c>
      <c r="E34" s="189">
        <f t="shared" si="0"/>
        <v>41410.12</v>
      </c>
      <c r="F34" s="187">
        <f t="shared" si="1"/>
        <v>243346.30000000005</v>
      </c>
    </row>
    <row r="35" spans="1:6" ht="12.75">
      <c r="A35" s="185">
        <v>3</v>
      </c>
      <c r="B35" s="186">
        <v>4</v>
      </c>
      <c r="C35" s="187">
        <v>380000</v>
      </c>
      <c r="D35" s="188">
        <v>0.098077</v>
      </c>
      <c r="E35" s="189">
        <f t="shared" si="0"/>
        <v>37269.26</v>
      </c>
      <c r="F35" s="187">
        <f t="shared" si="1"/>
        <v>206077.04000000004</v>
      </c>
    </row>
    <row r="36" spans="1:6" ht="12.75">
      <c r="A36" s="185">
        <v>4</v>
      </c>
      <c r="B36" s="186">
        <v>5</v>
      </c>
      <c r="C36" s="187">
        <v>380000</v>
      </c>
      <c r="D36" s="188">
        <v>0.087179</v>
      </c>
      <c r="E36" s="189">
        <f t="shared" si="0"/>
        <v>33128.020000000004</v>
      </c>
      <c r="F36" s="187">
        <f t="shared" si="1"/>
        <v>172949.02000000002</v>
      </c>
    </row>
    <row r="37" spans="1:6" ht="12.75">
      <c r="A37" s="185" t="s">
        <v>252</v>
      </c>
      <c r="B37" s="186">
        <v>6</v>
      </c>
      <c r="C37" s="187">
        <v>380000</v>
      </c>
      <c r="D37" s="188">
        <v>0.076282</v>
      </c>
      <c r="E37" s="189">
        <f t="shared" si="0"/>
        <v>28987.16</v>
      </c>
      <c r="F37" s="187">
        <f t="shared" si="1"/>
        <v>143961.86000000002</v>
      </c>
    </row>
    <row r="38" spans="1:7" ht="12.75">
      <c r="A38" s="185">
        <v>6</v>
      </c>
      <c r="B38" s="186">
        <v>7</v>
      </c>
      <c r="C38" s="187">
        <v>380000</v>
      </c>
      <c r="D38" s="188">
        <v>0.065385</v>
      </c>
      <c r="E38" s="189">
        <f t="shared" si="0"/>
        <v>24846.3</v>
      </c>
      <c r="F38" s="187">
        <f t="shared" si="1"/>
        <v>119115.56000000001</v>
      </c>
      <c r="G38" s="67"/>
    </row>
    <row r="39" spans="1:7" ht="12.75">
      <c r="A39" s="185">
        <v>7</v>
      </c>
      <c r="B39" s="186">
        <v>8</v>
      </c>
      <c r="C39" s="187">
        <v>380000</v>
      </c>
      <c r="D39" s="188">
        <v>0.054487</v>
      </c>
      <c r="E39" s="189">
        <f t="shared" si="0"/>
        <v>20705.06</v>
      </c>
      <c r="F39" s="187">
        <f t="shared" si="1"/>
        <v>98410.50000000001</v>
      </c>
      <c r="G39" s="200"/>
    </row>
    <row r="40" spans="1:8" ht="12.75">
      <c r="A40" s="190">
        <v>8</v>
      </c>
      <c r="B40" s="191">
        <v>9</v>
      </c>
      <c r="C40" s="187">
        <v>380000</v>
      </c>
      <c r="D40" s="193">
        <v>0.04359</v>
      </c>
      <c r="E40" s="194">
        <f t="shared" si="0"/>
        <v>16564.199999999997</v>
      </c>
      <c r="F40" s="192">
        <f t="shared" si="1"/>
        <v>81846.30000000002</v>
      </c>
      <c r="G40" s="200">
        <f>F39+F40</f>
        <v>180256.80000000005</v>
      </c>
      <c r="H40">
        <f>G40/2</f>
        <v>90128.40000000002</v>
      </c>
    </row>
    <row r="41" spans="1:8" ht="12.75">
      <c r="A41" s="185">
        <v>9</v>
      </c>
      <c r="B41" s="186">
        <v>10</v>
      </c>
      <c r="C41" s="187">
        <v>380000</v>
      </c>
      <c r="D41" s="188">
        <v>0.032692</v>
      </c>
      <c r="E41" s="189">
        <f t="shared" si="0"/>
        <v>12422.96</v>
      </c>
      <c r="F41" s="187">
        <f t="shared" si="1"/>
        <v>69423.34000000003</v>
      </c>
      <c r="H41">
        <f aca="true" t="shared" si="2" ref="H41:H55">G41/2</f>
        <v>0</v>
      </c>
    </row>
    <row r="42" spans="1:8" ht="12.75">
      <c r="A42" s="185">
        <v>10</v>
      </c>
      <c r="B42" s="186">
        <v>11</v>
      </c>
      <c r="C42" s="187">
        <v>380000</v>
      </c>
      <c r="D42" s="188">
        <v>0.021795</v>
      </c>
      <c r="E42" s="189">
        <f t="shared" si="0"/>
        <v>8282.099999999999</v>
      </c>
      <c r="F42" s="187">
        <f t="shared" si="1"/>
        <v>61141.24000000003</v>
      </c>
      <c r="H42">
        <f t="shared" si="2"/>
        <v>0</v>
      </c>
    </row>
    <row r="43" spans="1:8" ht="12.75">
      <c r="A43" s="185">
        <v>11</v>
      </c>
      <c r="B43" s="186">
        <v>12</v>
      </c>
      <c r="C43" s="187">
        <v>380000</v>
      </c>
      <c r="D43" s="188">
        <v>0.010897</v>
      </c>
      <c r="E43" s="189">
        <f t="shared" si="0"/>
        <v>4140.860000000001</v>
      </c>
      <c r="F43" s="187">
        <f t="shared" si="1"/>
        <v>57000.38000000003</v>
      </c>
      <c r="H43">
        <f t="shared" si="2"/>
        <v>0</v>
      </c>
    </row>
    <row r="44" ht="12.75">
      <c r="H44">
        <f t="shared" si="2"/>
        <v>0</v>
      </c>
    </row>
    <row r="45" spans="1:8" ht="12.75">
      <c r="A45" s="67" t="s">
        <v>253</v>
      </c>
      <c r="H45">
        <f t="shared" si="2"/>
        <v>0</v>
      </c>
    </row>
    <row r="46" spans="1:8" ht="12.75">
      <c r="A46" s="181" t="s">
        <v>249</v>
      </c>
      <c r="B46" s="182" t="s">
        <v>250</v>
      </c>
      <c r="C46" s="183"/>
      <c r="D46" s="183" t="s">
        <v>251</v>
      </c>
      <c r="E46" s="184"/>
      <c r="F46" s="184"/>
      <c r="H46">
        <f t="shared" si="2"/>
        <v>0</v>
      </c>
    </row>
    <row r="47" spans="1:8" ht="12.75">
      <c r="A47" s="185">
        <v>0</v>
      </c>
      <c r="B47" s="186">
        <v>1</v>
      </c>
      <c r="C47" s="187">
        <v>350000</v>
      </c>
      <c r="D47" s="188">
        <v>0.130769</v>
      </c>
      <c r="E47" s="189">
        <f aca="true" t="shared" si="3" ref="E47:E58">C47*D47</f>
        <v>45769.15</v>
      </c>
      <c r="F47" s="187">
        <f>C47-E47</f>
        <v>304230.85</v>
      </c>
      <c r="H47">
        <f t="shared" si="2"/>
        <v>0</v>
      </c>
    </row>
    <row r="48" spans="1:10" ht="12.75">
      <c r="A48" s="185">
        <v>1</v>
      </c>
      <c r="B48" s="186">
        <v>2</v>
      </c>
      <c r="C48" s="187">
        <v>350000</v>
      </c>
      <c r="D48" s="188">
        <v>0.119872</v>
      </c>
      <c r="E48" s="189">
        <f t="shared" si="3"/>
        <v>41955.200000000004</v>
      </c>
      <c r="F48" s="187">
        <f aca="true" t="shared" si="4" ref="F48:F58">F47-E48</f>
        <v>262275.64999999997</v>
      </c>
      <c r="H48">
        <f t="shared" si="2"/>
        <v>0</v>
      </c>
      <c r="J48" s="203"/>
    </row>
    <row r="49" spans="1:8" ht="12.75">
      <c r="A49" s="185">
        <v>2</v>
      </c>
      <c r="B49" s="186">
        <v>3</v>
      </c>
      <c r="C49" s="187">
        <v>350000</v>
      </c>
      <c r="D49" s="188">
        <v>0.108974</v>
      </c>
      <c r="E49" s="189">
        <f t="shared" si="3"/>
        <v>38140.9</v>
      </c>
      <c r="F49" s="187">
        <f t="shared" si="4"/>
        <v>224134.74999999997</v>
      </c>
      <c r="H49">
        <f t="shared" si="2"/>
        <v>0</v>
      </c>
    </row>
    <row r="50" spans="1:8" ht="12.75">
      <c r="A50" s="185">
        <v>3</v>
      </c>
      <c r="B50" s="186">
        <v>4</v>
      </c>
      <c r="C50" s="187">
        <v>350000</v>
      </c>
      <c r="D50" s="188">
        <v>0.098077</v>
      </c>
      <c r="E50" s="189">
        <f t="shared" si="3"/>
        <v>34326.95</v>
      </c>
      <c r="F50" s="187">
        <f t="shared" si="4"/>
        <v>189807.8</v>
      </c>
      <c r="H50">
        <f t="shared" si="2"/>
        <v>0</v>
      </c>
    </row>
    <row r="51" spans="1:8" ht="12.75">
      <c r="A51" s="185">
        <v>4</v>
      </c>
      <c r="B51" s="186">
        <v>5</v>
      </c>
      <c r="C51" s="187">
        <v>350000</v>
      </c>
      <c r="D51" s="188">
        <v>0.087179</v>
      </c>
      <c r="E51" s="189">
        <f t="shared" si="3"/>
        <v>30512.65</v>
      </c>
      <c r="F51" s="187">
        <f t="shared" si="4"/>
        <v>159295.15</v>
      </c>
      <c r="H51">
        <f t="shared" si="2"/>
        <v>0</v>
      </c>
    </row>
    <row r="52" spans="1:8" ht="12.75">
      <c r="A52" s="185" t="s">
        <v>252</v>
      </c>
      <c r="B52" s="186">
        <v>6</v>
      </c>
      <c r="C52" s="187">
        <v>350000</v>
      </c>
      <c r="D52" s="188">
        <v>0.076282</v>
      </c>
      <c r="E52" s="189">
        <f t="shared" si="3"/>
        <v>26698.7</v>
      </c>
      <c r="F52" s="187">
        <f t="shared" si="4"/>
        <v>132596.44999999998</v>
      </c>
      <c r="H52">
        <f t="shared" si="2"/>
        <v>0</v>
      </c>
    </row>
    <row r="53" spans="1:8" ht="12.75">
      <c r="A53" s="185">
        <v>6</v>
      </c>
      <c r="B53" s="186">
        <v>7</v>
      </c>
      <c r="C53" s="187">
        <v>350000</v>
      </c>
      <c r="D53" s="188">
        <v>0.065385</v>
      </c>
      <c r="E53" s="189">
        <f t="shared" si="3"/>
        <v>22884.75</v>
      </c>
      <c r="F53" s="187">
        <f t="shared" si="4"/>
        <v>109711.69999999998</v>
      </c>
      <c r="H53">
        <f t="shared" si="2"/>
        <v>0</v>
      </c>
    </row>
    <row r="54" spans="1:8" ht="12.75">
      <c r="A54" s="185">
        <v>7</v>
      </c>
      <c r="B54" s="186">
        <v>8</v>
      </c>
      <c r="C54" s="187">
        <v>350000</v>
      </c>
      <c r="D54" s="188">
        <v>0.054487</v>
      </c>
      <c r="E54" s="189">
        <f t="shared" si="3"/>
        <v>19070.45</v>
      </c>
      <c r="F54" s="187">
        <f t="shared" si="4"/>
        <v>90641.24999999999</v>
      </c>
      <c r="G54" s="200"/>
      <c r="H54">
        <f t="shared" si="2"/>
        <v>0</v>
      </c>
    </row>
    <row r="55" spans="1:8" ht="12.75">
      <c r="A55" s="195">
        <v>8</v>
      </c>
      <c r="B55" s="196">
        <v>9</v>
      </c>
      <c r="C55" s="187">
        <v>350000</v>
      </c>
      <c r="D55" s="198">
        <v>0.04359</v>
      </c>
      <c r="E55" s="199">
        <f t="shared" si="3"/>
        <v>15256.499999999998</v>
      </c>
      <c r="F55" s="197">
        <f t="shared" si="4"/>
        <v>75384.74999999999</v>
      </c>
      <c r="G55" s="200">
        <f>F54+F55</f>
        <v>166025.99999999997</v>
      </c>
      <c r="H55">
        <f t="shared" si="2"/>
        <v>83012.99999999999</v>
      </c>
    </row>
    <row r="56" spans="1:6" ht="12.75">
      <c r="A56" s="185">
        <v>9</v>
      </c>
      <c r="B56" s="186">
        <v>10</v>
      </c>
      <c r="C56" s="187">
        <v>350000</v>
      </c>
      <c r="D56" s="188">
        <v>0.032692</v>
      </c>
      <c r="E56" s="189">
        <f t="shared" si="3"/>
        <v>11442.199999999999</v>
      </c>
      <c r="F56" s="187">
        <f t="shared" si="4"/>
        <v>63942.54999999999</v>
      </c>
    </row>
    <row r="57" spans="1:6" ht="12.75">
      <c r="A57" s="185">
        <v>10</v>
      </c>
      <c r="B57" s="186">
        <v>11</v>
      </c>
      <c r="C57" s="187">
        <v>350000</v>
      </c>
      <c r="D57" s="188">
        <v>0.021795</v>
      </c>
      <c r="E57" s="189">
        <f t="shared" si="3"/>
        <v>7628.249999999999</v>
      </c>
      <c r="F57" s="187">
        <f t="shared" si="4"/>
        <v>56314.29999999999</v>
      </c>
    </row>
    <row r="58" spans="1:6" ht="12.75">
      <c r="A58" s="185">
        <v>11</v>
      </c>
      <c r="B58" s="186">
        <v>12</v>
      </c>
      <c r="C58" s="187">
        <v>350000</v>
      </c>
      <c r="D58" s="188">
        <v>0.010897</v>
      </c>
      <c r="E58" s="189">
        <f t="shared" si="3"/>
        <v>3813.9500000000003</v>
      </c>
      <c r="F58" s="187">
        <f t="shared" si="4"/>
        <v>52500.34999999999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3"/>
  <sheetViews>
    <sheetView zoomScalePageLayoutView="0" workbookViewId="0" topLeftCell="A4">
      <selection activeCell="M34" sqref="M34"/>
    </sheetView>
  </sheetViews>
  <sheetFormatPr defaultColWidth="9.140625" defaultRowHeight="12.75"/>
  <cols>
    <col min="6" max="6" width="9.28125" style="0" bestFit="1" customWidth="1"/>
    <col min="7" max="7" width="13.7109375" style="0" customWidth="1"/>
    <col min="8" max="8" width="14.57421875" style="0" customWidth="1"/>
  </cols>
  <sheetData>
    <row r="3" ht="12.75">
      <c r="C3" t="s">
        <v>280</v>
      </c>
    </row>
    <row r="4" spans="4:6" ht="12.75">
      <c r="D4" t="s">
        <v>281</v>
      </c>
      <c r="E4" t="s">
        <v>282</v>
      </c>
      <c r="F4" t="s">
        <v>283</v>
      </c>
    </row>
    <row r="5" ht="12.75">
      <c r="A5" t="s">
        <v>284</v>
      </c>
    </row>
    <row r="6" ht="12.75">
      <c r="G6" s="67" t="s">
        <v>286</v>
      </c>
    </row>
    <row r="7" spans="4:8" ht="12.75">
      <c r="D7" s="222">
        <v>7</v>
      </c>
      <c r="E7" s="223">
        <v>0.2</v>
      </c>
      <c r="F7" s="222">
        <f>D7*E7</f>
        <v>1.4000000000000001</v>
      </c>
      <c r="G7" s="230">
        <f>F7*100</f>
        <v>140</v>
      </c>
      <c r="H7" s="222"/>
    </row>
    <row r="8" spans="4:7" ht="12.75">
      <c r="D8" s="222">
        <v>9.25</v>
      </c>
      <c r="E8" s="223">
        <v>0.1</v>
      </c>
      <c r="F8" s="222">
        <f>D8*E8</f>
        <v>0.925</v>
      </c>
      <c r="G8" s="230">
        <f>F8*100</f>
        <v>92.5</v>
      </c>
    </row>
    <row r="9" spans="4:7" ht="12.75">
      <c r="D9" s="222">
        <v>11.5</v>
      </c>
      <c r="E9" s="223">
        <v>0.06</v>
      </c>
      <c r="F9" s="222">
        <f>D9*E9</f>
        <v>0.69</v>
      </c>
      <c r="G9" s="230">
        <f>F9*100</f>
        <v>69</v>
      </c>
    </row>
    <row r="10" spans="4:7" ht="12.75">
      <c r="D10" s="222">
        <v>13.75</v>
      </c>
      <c r="E10" s="223">
        <v>0.03</v>
      </c>
      <c r="F10" s="222">
        <f>D10*E10</f>
        <v>0.4125</v>
      </c>
      <c r="G10" s="230">
        <f>F10*100</f>
        <v>41.25</v>
      </c>
    </row>
    <row r="11" spans="4:7" ht="12.75">
      <c r="D11" s="222">
        <v>16</v>
      </c>
      <c r="E11" s="223">
        <v>0.01</v>
      </c>
      <c r="F11" s="222">
        <f>D11*E11</f>
        <v>0.16</v>
      </c>
      <c r="G11" s="230">
        <f>F11*100</f>
        <v>16</v>
      </c>
    </row>
    <row r="12" spans="4:7" ht="12.75">
      <c r="D12" t="s">
        <v>285</v>
      </c>
      <c r="E12" s="223">
        <v>0.4</v>
      </c>
      <c r="F12" s="222"/>
      <c r="G12" s="231">
        <f>SUM(G7:G11)</f>
        <v>358.75</v>
      </c>
    </row>
    <row r="14" spans="4:6" ht="12.75">
      <c r="D14" s="67" t="s">
        <v>287</v>
      </c>
      <c r="F14" s="222">
        <f>G12/40</f>
        <v>8.96875</v>
      </c>
    </row>
    <row r="15" spans="4:6" ht="12.75">
      <c r="D15" s="67" t="s">
        <v>288</v>
      </c>
      <c r="F15" s="222">
        <f>F14/2</f>
        <v>4.484375</v>
      </c>
    </row>
    <row r="18" ht="13.5" thickBot="1"/>
    <row r="19" spans="4:8" ht="12.75">
      <c r="D19" s="248"/>
      <c r="E19" s="249"/>
      <c r="F19" s="219" t="s">
        <v>290</v>
      </c>
      <c r="G19" s="219" t="s">
        <v>292</v>
      </c>
      <c r="H19" s="219" t="s">
        <v>294</v>
      </c>
    </row>
    <row r="20" spans="4:8" ht="12.75">
      <c r="D20" s="250" t="s">
        <v>289</v>
      </c>
      <c r="E20" s="251"/>
      <c r="F20" s="225" t="s">
        <v>291</v>
      </c>
      <c r="G20" s="225" t="s">
        <v>293</v>
      </c>
      <c r="H20" s="225" t="s">
        <v>295</v>
      </c>
    </row>
    <row r="21" spans="4:8" ht="13.5" thickBot="1">
      <c r="D21" s="252"/>
      <c r="E21" s="253"/>
      <c r="F21" s="220"/>
      <c r="G21" s="220"/>
      <c r="H21" s="220"/>
    </row>
    <row r="22" spans="4:8" ht="13.5" thickBot="1">
      <c r="D22" s="245" t="s">
        <v>296</v>
      </c>
      <c r="E22" s="246"/>
      <c r="F22" s="226">
        <v>20199</v>
      </c>
      <c r="G22" s="227">
        <v>4.6</v>
      </c>
      <c r="H22" s="228">
        <f>F22*G22</f>
        <v>92915.4</v>
      </c>
    </row>
    <row r="23" spans="4:8" ht="13.5" thickBot="1">
      <c r="D23" s="245" t="s">
        <v>297</v>
      </c>
      <c r="E23" s="246"/>
      <c r="F23" s="226">
        <v>13850</v>
      </c>
      <c r="G23" s="227">
        <f>G22/2</f>
        <v>2.3</v>
      </c>
      <c r="H23" s="228">
        <f aca="true" t="shared" si="0" ref="H23:H29">F23*G23</f>
        <v>31854.999999999996</v>
      </c>
    </row>
    <row r="24" spans="4:8" ht="13.5" thickBot="1">
      <c r="D24" s="245" t="s">
        <v>298</v>
      </c>
      <c r="E24" s="246"/>
      <c r="F24" s="226">
        <v>6733</v>
      </c>
      <c r="G24" s="227">
        <f>D7</f>
        <v>7</v>
      </c>
      <c r="H24" s="228">
        <f t="shared" si="0"/>
        <v>47131</v>
      </c>
    </row>
    <row r="25" spans="4:8" ht="13.5" thickBot="1">
      <c r="D25" s="245" t="s">
        <v>299</v>
      </c>
      <c r="E25" s="246"/>
      <c r="F25" s="226">
        <v>3366</v>
      </c>
      <c r="G25" s="227">
        <f>D8</f>
        <v>9.25</v>
      </c>
      <c r="H25" s="228">
        <f t="shared" si="0"/>
        <v>31135.5</v>
      </c>
    </row>
    <row r="26" spans="4:8" ht="13.5" thickBot="1">
      <c r="D26" s="245" t="s">
        <v>300</v>
      </c>
      <c r="E26" s="246"/>
      <c r="F26" s="226">
        <v>2020</v>
      </c>
      <c r="G26" s="227">
        <f>D9</f>
        <v>11.5</v>
      </c>
      <c r="H26" s="228">
        <f t="shared" si="0"/>
        <v>23230</v>
      </c>
    </row>
    <row r="27" spans="4:8" ht="13.5" thickBot="1">
      <c r="D27" s="245" t="s">
        <v>301</v>
      </c>
      <c r="E27" s="247"/>
      <c r="F27" s="226">
        <v>1010</v>
      </c>
      <c r="G27" s="227">
        <f>D10</f>
        <v>13.75</v>
      </c>
      <c r="H27" s="228">
        <f t="shared" si="0"/>
        <v>13887.5</v>
      </c>
    </row>
    <row r="28" spans="4:8" ht="13.5" thickBot="1">
      <c r="D28" s="229" t="s">
        <v>302</v>
      </c>
      <c r="E28" s="221"/>
      <c r="F28" s="224">
        <v>337</v>
      </c>
      <c r="G28" s="227">
        <f>D11</f>
        <v>16</v>
      </c>
      <c r="H28" s="228">
        <f t="shared" si="0"/>
        <v>5392</v>
      </c>
    </row>
    <row r="29" spans="4:8" ht="13.5" thickBot="1">
      <c r="D29" s="229" t="s">
        <v>303</v>
      </c>
      <c r="E29" s="221"/>
      <c r="F29" s="226">
        <v>59000</v>
      </c>
      <c r="G29" s="227">
        <f>F15</f>
        <v>4.484375</v>
      </c>
      <c r="H29" s="228">
        <f t="shared" si="0"/>
        <v>264578.125</v>
      </c>
    </row>
    <row r="30" ht="12.75">
      <c r="H30" s="222">
        <f>SUM(H22:H29)</f>
        <v>510124.525</v>
      </c>
    </row>
    <row r="34" ht="12.75">
      <c r="D34" s="222">
        <f>G22</f>
        <v>4.6</v>
      </c>
    </row>
    <row r="35" spans="6:7" ht="12.75">
      <c r="F35" s="223">
        <v>0.07</v>
      </c>
      <c r="G35" s="223">
        <v>0.04</v>
      </c>
    </row>
    <row r="36" spans="4:6" ht="12.75">
      <c r="D36" t="s">
        <v>296</v>
      </c>
      <c r="F36" s="222">
        <f aca="true" t="shared" si="1" ref="F36:F43">G22</f>
        <v>4.6</v>
      </c>
    </row>
    <row r="37" spans="4:6" ht="12.75">
      <c r="D37" t="s">
        <v>297</v>
      </c>
      <c r="F37" s="222">
        <f t="shared" si="1"/>
        <v>2.3</v>
      </c>
    </row>
    <row r="38" spans="4:6" ht="12.75">
      <c r="D38" t="s">
        <v>298</v>
      </c>
      <c r="F38" s="222">
        <f t="shared" si="1"/>
        <v>7</v>
      </c>
    </row>
    <row r="39" spans="4:6" ht="12.75">
      <c r="D39" t="s">
        <v>299</v>
      </c>
      <c r="F39" s="222">
        <f t="shared" si="1"/>
        <v>9.25</v>
      </c>
    </row>
    <row r="40" spans="4:6" ht="12.75">
      <c r="D40" t="s">
        <v>300</v>
      </c>
      <c r="F40" s="222">
        <f t="shared" si="1"/>
        <v>11.5</v>
      </c>
    </row>
    <row r="41" spans="4:6" ht="12.75">
      <c r="D41" t="s">
        <v>301</v>
      </c>
      <c r="F41" s="222">
        <f t="shared" si="1"/>
        <v>13.75</v>
      </c>
    </row>
    <row r="42" spans="4:6" ht="12.75">
      <c r="D42" t="s">
        <v>302</v>
      </c>
      <c r="F42" s="222">
        <f t="shared" si="1"/>
        <v>16</v>
      </c>
    </row>
    <row r="43" spans="4:6" ht="12.75">
      <c r="D43" t="s">
        <v>303</v>
      </c>
      <c r="F43" s="222">
        <f t="shared" si="1"/>
        <v>4.484375</v>
      </c>
    </row>
  </sheetData>
  <sheetProtection/>
  <mergeCells count="9">
    <mergeCell ref="D24:E24"/>
    <mergeCell ref="D25:E25"/>
    <mergeCell ref="D26:E26"/>
    <mergeCell ref="D27:E27"/>
    <mergeCell ref="D19:E19"/>
    <mergeCell ref="D20:E20"/>
    <mergeCell ref="D21:E21"/>
    <mergeCell ref="D22:E22"/>
    <mergeCell ref="D23:E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pmsap pmsap</cp:lastModifiedBy>
  <cp:lastPrinted>2020-04-30T12:12:33Z</cp:lastPrinted>
  <dcterms:created xsi:type="dcterms:W3CDTF">2010-01-09T15:56:17Z</dcterms:created>
  <dcterms:modified xsi:type="dcterms:W3CDTF">2020-07-28T20:24:56Z</dcterms:modified>
  <cp:category/>
  <cp:version/>
  <cp:contentType/>
  <cp:contentStatus/>
</cp:coreProperties>
</file>